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л.6 (исходн.)" sheetId="1" r:id="rId1"/>
    <sheet name="Расчет ФП " sheetId="2" r:id="rId2"/>
  </sheets>
  <definedNames>
    <definedName name="_xlnm.Print_Titles" localSheetId="0">'Прил.6 (исходн.)'!$9:$10</definedName>
  </definedNames>
  <calcPr fullCalcOnLoad="1"/>
</workbook>
</file>

<file path=xl/sharedStrings.xml><?xml version="1.0" encoding="utf-8"?>
<sst xmlns="http://schemas.openxmlformats.org/spreadsheetml/2006/main" count="375" uniqueCount="301">
  <si>
    <t>№ пп</t>
  </si>
  <si>
    <t>Наименование показателей</t>
  </si>
  <si>
    <t>Примечание                          (указать номера страницы приложений по обоснованию затрат)</t>
  </si>
  <si>
    <t>Реагенты</t>
  </si>
  <si>
    <t>1.</t>
  </si>
  <si>
    <t>2.</t>
  </si>
  <si>
    <t>3.</t>
  </si>
  <si>
    <t>4.</t>
  </si>
  <si>
    <t>5.</t>
  </si>
  <si>
    <t>6.</t>
  </si>
  <si>
    <t>Электроэнергия</t>
  </si>
  <si>
    <t>Отчисления на социальне нужды</t>
  </si>
  <si>
    <t>6.1.</t>
  </si>
  <si>
    <t>капитальный ремонт</t>
  </si>
  <si>
    <t>6.2.</t>
  </si>
  <si>
    <t>6.3.</t>
  </si>
  <si>
    <t>6.4.</t>
  </si>
  <si>
    <t>материалы на текущий ремонт</t>
  </si>
  <si>
    <t>7.</t>
  </si>
  <si>
    <t>Затраты по содержанию аварийно-диспетчерской службы</t>
  </si>
  <si>
    <t>8.</t>
  </si>
  <si>
    <t>Прочие расходы</t>
  </si>
  <si>
    <t>9.</t>
  </si>
  <si>
    <t>Оплата покупной воды</t>
  </si>
  <si>
    <t>10.</t>
  </si>
  <si>
    <t>Накладные расходы, в том числе:</t>
  </si>
  <si>
    <t>общеэксплуатационные расходы</t>
  </si>
  <si>
    <t>11.</t>
  </si>
  <si>
    <t>Всего расходов</t>
  </si>
  <si>
    <t>12.</t>
  </si>
  <si>
    <t>Объем реализации воды, т.м3</t>
  </si>
  <si>
    <t>13.</t>
  </si>
  <si>
    <t>Себестоимость 1м3 воды</t>
  </si>
  <si>
    <t>15.</t>
  </si>
  <si>
    <t>налог на прибыль</t>
  </si>
  <si>
    <t>16.</t>
  </si>
  <si>
    <t>Расчет</t>
  </si>
  <si>
    <t xml:space="preserve">Финансовых потребностей для реализации производственной программы и </t>
  </si>
  <si>
    <t>ООО "Уральские тепловые сети"</t>
  </si>
  <si>
    <t>Директор ООО "УТС"                                             В.Г.Годунов.</t>
  </si>
  <si>
    <t>Ведущий экономист                                             Г.Г.Тихонюк.</t>
  </si>
  <si>
    <t>8.1.</t>
  </si>
  <si>
    <t>Электроэнергия (основное производство)</t>
  </si>
  <si>
    <t>Затраты на оплату основного персонала</t>
  </si>
  <si>
    <t>численность персонала, чел.</t>
  </si>
  <si>
    <t>ставка рабочего 1 разряда</t>
  </si>
  <si>
    <t>средний разряд</t>
  </si>
  <si>
    <t>процент отчислений</t>
  </si>
  <si>
    <t>Ремонт и техническое обслуживание, в т.ч.:</t>
  </si>
  <si>
    <t>затраты на оплату труда ремонтного персонала</t>
  </si>
  <si>
    <t>численность ремонтного персонала, чел.</t>
  </si>
  <si>
    <t>отчисления на социальные нужды</t>
  </si>
  <si>
    <t>6.5.</t>
  </si>
  <si>
    <t>8.2.</t>
  </si>
  <si>
    <t>водный налог</t>
  </si>
  <si>
    <t>транспортный налог</t>
  </si>
  <si>
    <t>наименование поставщика</t>
  </si>
  <si>
    <t>объем покупной воды, тыс.м3</t>
  </si>
  <si>
    <t>тариф покупной воды, руб/м3</t>
  </si>
  <si>
    <t>Затраты на оплату цехового персонала</t>
  </si>
  <si>
    <t>численность цехового персонала, чел.</t>
  </si>
  <si>
    <t>Отчисления на социальные нужды</t>
  </si>
  <si>
    <t>Затраты на оплату труда АУП</t>
  </si>
  <si>
    <t>Электроэнергия.</t>
  </si>
  <si>
    <t>14.</t>
  </si>
  <si>
    <t>Рентабельность, %</t>
  </si>
  <si>
    <t>Валовая прибыль, в т.ч.</t>
  </si>
  <si>
    <t>прибыль на развитие производства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</si>
  <si>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</si>
  <si>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</si>
  <si>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</si>
  <si>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</si>
  <si>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налоги и сборы всего</t>
  </si>
  <si>
    <t>налог на имущество</t>
  </si>
  <si>
    <t>17.</t>
  </si>
  <si>
    <t>18.</t>
  </si>
  <si>
    <t>Предусмотренная в затратах организации величина финансовых средств по источникам финансирования всего, в т.ч.</t>
  </si>
  <si>
    <t>амортизация</t>
  </si>
  <si>
    <t>бюджетное финансирование</t>
  </si>
  <si>
    <t>заемные средства</t>
  </si>
  <si>
    <t>другие источники</t>
  </si>
  <si>
    <t>предварительный расчет тарифов на  холодную воду.</t>
  </si>
  <si>
    <t>среднемесячная оплата труда основного производственного персонала (руб.)</t>
  </si>
  <si>
    <t>Амортизация и аренда, в т.ч.</t>
  </si>
  <si>
    <t>амортизация основных фондов</t>
  </si>
  <si>
    <t>аренда основных фондов</t>
  </si>
  <si>
    <t>среднемесячная оплата труда ремонтного персонала (руб.)</t>
  </si>
  <si>
    <t>ГСМ</t>
  </si>
  <si>
    <t>Численность АУП распределяемого на регулинуемый вид деятельности, чел.</t>
  </si>
  <si>
    <t>среднемесячная оплата труда АУП (руб.)</t>
  </si>
  <si>
    <t>Тариф, руб./м3 ( сНДС)</t>
  </si>
  <si>
    <t>Тариф с учетом надбавки, руб./м3 (без НДС)</t>
  </si>
  <si>
    <t>Тариф с учетом надбавки, руб./м3 (с НДС)</t>
  </si>
  <si>
    <t>упрощенная система налогооблажения - 2013г.</t>
  </si>
  <si>
    <t>план
 (учтено в тарифе
 среднегодовом)</t>
  </si>
  <si>
    <t>Приложение № 6</t>
  </si>
  <si>
    <t>20.</t>
  </si>
  <si>
    <t>21.</t>
  </si>
  <si>
    <t>22.</t>
  </si>
  <si>
    <t>23.</t>
  </si>
  <si>
    <t>24.</t>
  </si>
  <si>
    <t>прибыль( без налога на прибыль)</t>
  </si>
  <si>
    <t>стр.181</t>
  </si>
  <si>
    <t>стр.238</t>
  </si>
  <si>
    <t>стр.270</t>
  </si>
  <si>
    <t>стр.243</t>
  </si>
  <si>
    <t>стр.277</t>
  </si>
  <si>
    <t>стр.285</t>
  </si>
  <si>
    <t>стр.286</t>
  </si>
  <si>
    <t>стр.316</t>
  </si>
  <si>
    <t>стр270</t>
  </si>
  <si>
    <t>стр289</t>
  </si>
  <si>
    <t>стр.337</t>
  </si>
  <si>
    <t>стр.338</t>
  </si>
  <si>
    <t>стр.344</t>
  </si>
  <si>
    <t>стр.355</t>
  </si>
  <si>
    <t>стр.357</t>
  </si>
  <si>
    <t>стр.358</t>
  </si>
  <si>
    <t>стр.393</t>
  </si>
  <si>
    <t>стр.394</t>
  </si>
  <si>
    <t>стр.492</t>
  </si>
  <si>
    <t>стр.145</t>
  </si>
  <si>
    <t>стр.493</t>
  </si>
  <si>
    <t>факт 1полугодие</t>
  </si>
  <si>
    <t>Инвестицилнная надбавка, руб/м3  с НДС)</t>
  </si>
  <si>
    <t>Инвестицилнная надбавка, руб/м3 без НДС</t>
  </si>
  <si>
    <t>упрощенная система налогооблажения - 2014г.</t>
  </si>
  <si>
    <t>Факт 
2012г.</t>
  </si>
  <si>
    <t>отчетный период 2013г.</t>
  </si>
  <si>
    <t>"Строительная
 компания"</t>
  </si>
  <si>
    <t>3.1.</t>
  </si>
  <si>
    <t>3.2.</t>
  </si>
  <si>
    <t>3.3.</t>
  </si>
  <si>
    <t>3.4.</t>
  </si>
  <si>
    <t>4.1.</t>
  </si>
  <si>
    <t>5.1.</t>
  </si>
  <si>
    <t>5.2.</t>
  </si>
  <si>
    <t>6.2.1.</t>
  </si>
  <si>
    <t>6.2.2.</t>
  </si>
  <si>
    <t>6.2.3.</t>
  </si>
  <si>
    <t>Прочие затраты</t>
  </si>
  <si>
    <t>Прочие расходы, в том числе</t>
  </si>
  <si>
    <t>10.1.</t>
  </si>
  <si>
    <t>цеховые, в том числе</t>
  </si>
  <si>
    <t>10.1.1.</t>
  </si>
  <si>
    <t>10.1.1.1.</t>
  </si>
  <si>
    <t>10.1.1.2.</t>
  </si>
  <si>
    <t>10.1.1.3.</t>
  </si>
  <si>
    <t>среднемесячная заработная плата (руб.)</t>
  </si>
  <si>
    <t>10.1.2.</t>
  </si>
  <si>
    <t>10.1.3.</t>
  </si>
  <si>
    <t>10.1.4.</t>
  </si>
  <si>
    <t>прочие расходы, в том числе</t>
  </si>
  <si>
    <t>охрана труда</t>
  </si>
  <si>
    <t>лабораторные исследования воды</t>
  </si>
  <si>
    <t>транспортные расходы, в том числе</t>
  </si>
  <si>
    <t>арендная плата</t>
  </si>
  <si>
    <t>материалы (запчасти)</t>
  </si>
  <si>
    <t>автотранспортные услуги сторонних организаций</t>
  </si>
  <si>
    <t>10.2.</t>
  </si>
  <si>
    <t>9.1.</t>
  </si>
  <si>
    <t>9.2.</t>
  </si>
  <si>
    <t>9.3.</t>
  </si>
  <si>
    <t>10.1.4.1.</t>
  </si>
  <si>
    <t>10.1.4.2.</t>
  </si>
  <si>
    <t>10.1.4.3.</t>
  </si>
  <si>
    <t>10.1.4.7.</t>
  </si>
  <si>
    <t>10.2.1.</t>
  </si>
  <si>
    <t>10.2.2.</t>
  </si>
  <si>
    <t>10.2.3.</t>
  </si>
  <si>
    <t>10.2.4.</t>
  </si>
  <si>
    <t>15.1.</t>
  </si>
  <si>
    <t>15.2.</t>
  </si>
  <si>
    <t>15.3.</t>
  </si>
  <si>
    <t>15.4.</t>
  </si>
  <si>
    <t>15.5.</t>
  </si>
  <si>
    <t>15.6.</t>
  </si>
  <si>
    <t>15.6.1.</t>
  </si>
  <si>
    <t>15.6.2.</t>
  </si>
  <si>
    <t>15.7.</t>
  </si>
  <si>
    <t>Мероприятия по энергосбережению</t>
  </si>
  <si>
    <t>Финансовые потребности всего</t>
  </si>
  <si>
    <t>24.1.</t>
  </si>
  <si>
    <t>24.2.</t>
  </si>
  <si>
    <t>24.3.</t>
  </si>
  <si>
    <t>24.4.</t>
  </si>
  <si>
    <t>24.5.</t>
  </si>
  <si>
    <t>10.1.4.3.1.</t>
  </si>
  <si>
    <t>10.1.4.3.2.</t>
  </si>
  <si>
    <t>10.1.43.3.</t>
  </si>
  <si>
    <t>План регулируемого периода 2014г.</t>
  </si>
  <si>
    <t xml:space="preserve">РАСЧЕТ ФИНАНСОВЫХ ПОТРЕБНОСТЕЙ ДЛЯ  РЕАЛИЗАЦИИ ПРОИЗВОДСТВЕННОЙ ПРОГРАММЫ </t>
  </si>
  <si>
    <t>наименование организации</t>
  </si>
  <si>
    <t>№ п/п</t>
  </si>
  <si>
    <t>Примечание (указать номера страницы приложений по обоснованию затрат)</t>
  </si>
  <si>
    <t>Факт I квартала</t>
  </si>
  <si>
    <t>(учтено в тарифе (среднегодовом)</t>
  </si>
  <si>
    <t>тыс. руб.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</si>
  <si>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</si>
  <si>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</si>
  <si>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Обеззараживающие вещества</t>
  </si>
  <si>
    <t xml:space="preserve">   численность персонала, чел.</t>
  </si>
  <si>
    <t xml:space="preserve">   ставка рабочего 1 разряда (руб.)</t>
  </si>
  <si>
    <t xml:space="preserve">   средний разряд</t>
  </si>
  <si>
    <t xml:space="preserve">   процент отчислений</t>
  </si>
  <si>
    <t>Ремонт и техническое обслуживание, в т.ч.</t>
  </si>
  <si>
    <t>материалы</t>
  </si>
  <si>
    <t>мероприятия по программе энергосбережения</t>
  </si>
  <si>
    <t>6.6.</t>
  </si>
  <si>
    <t>прочие затраты</t>
  </si>
  <si>
    <t>Затраты по содержанию  аварийно-диспетчерской службы</t>
  </si>
  <si>
    <t>Прочие прямые расходы, в т.ч.</t>
  </si>
  <si>
    <t xml:space="preserve">  водный налог</t>
  </si>
  <si>
    <t xml:space="preserve">  транспортный налог</t>
  </si>
  <si>
    <t xml:space="preserve">Оплата покупной воды </t>
  </si>
  <si>
    <t>Наименование поставщика</t>
  </si>
  <si>
    <t>Объем покупной воды, тыс. м3.</t>
  </si>
  <si>
    <t>Тариф покупной воды, руб./м3</t>
  </si>
  <si>
    <t>Накладные расходы, в т.ч.</t>
  </si>
  <si>
    <t>10.1</t>
  </si>
  <si>
    <t>Цеховые, в т.ч.</t>
  </si>
  <si>
    <t xml:space="preserve">   численность цехового персонала, чел.</t>
  </si>
  <si>
    <t>среднемесячная оплата труда цехового персонала (руб.)</t>
  </si>
  <si>
    <t xml:space="preserve">Электроэнергия </t>
  </si>
  <si>
    <t>10.1.4</t>
  </si>
  <si>
    <t>Лабораторные исследования воды</t>
  </si>
  <si>
    <t>10.1.5.</t>
  </si>
  <si>
    <t>Транспортные расходы, в т.ч.</t>
  </si>
  <si>
    <t>10.1.5.1</t>
  </si>
  <si>
    <t>10.2</t>
  </si>
  <si>
    <t>Численность АУП, распределяемого на регулируемый вид деятельности, ед.</t>
  </si>
  <si>
    <t>Заработная плата прочего общехозяйственного персонала</t>
  </si>
  <si>
    <t>численность прочего общехозяйственного персонала, распределяемого на регулируемый вид деятельности, ед.</t>
  </si>
  <si>
    <t>Отчисления на соц. нужды от заработной платы прочего общехозяйственного персонала</t>
  </si>
  <si>
    <t>10.2.5.</t>
  </si>
  <si>
    <t>10.2.6.</t>
  </si>
  <si>
    <t>Себестоимость 1м3  воды</t>
  </si>
  <si>
    <t>15.1</t>
  </si>
  <si>
    <t>15.2</t>
  </si>
  <si>
    <t>15.3</t>
  </si>
  <si>
    <t>15.4</t>
  </si>
  <si>
    <t>15.5</t>
  </si>
  <si>
    <t>15.6</t>
  </si>
  <si>
    <t>15.7</t>
  </si>
  <si>
    <t>налоги и сборы всего, в т.ч.</t>
  </si>
  <si>
    <t>15.7.1</t>
  </si>
  <si>
    <t>15.7.2</t>
  </si>
  <si>
    <t>Доходы</t>
  </si>
  <si>
    <t>16.1.</t>
  </si>
  <si>
    <t>Избыток средств полученный за отчетный период регулирования</t>
  </si>
  <si>
    <t>Среднегодовой тариф, руб./м3 (без НДС)</t>
  </si>
  <si>
    <t>В колонке отчетный период: отношение суммы плановых доходов за 2013 год к объему реализации</t>
  </si>
  <si>
    <t>Среднегодовой тариф, руб./м3 (с НДС)</t>
  </si>
  <si>
    <t>Тариф, руб./м3 (без НДС)</t>
  </si>
  <si>
    <t>В колонке отчетного периода: тариф, установленный с 01.07.2013года</t>
  </si>
  <si>
    <t>Тариф, руб./м3 (с НДС)</t>
  </si>
  <si>
    <t xml:space="preserve">Предусмотренная в затратах организации величина финансовых средств по источникам финансирования всего, в т.ч. </t>
  </si>
  <si>
    <t>25.1</t>
  </si>
  <si>
    <t>25.2</t>
  </si>
  <si>
    <t>прибыль</t>
  </si>
  <si>
    <t>25.3</t>
  </si>
  <si>
    <t>25.4</t>
  </si>
  <si>
    <t>25.5</t>
  </si>
  <si>
    <t>*)  указываются затраты, учтенные в тарифах  2012  года (как сумма затрат по периодам регулирования за 2012 год);</t>
  </si>
  <si>
    <t>**) ежеквартально данная информация должна обновляться (нарастающим итогом)</t>
  </si>
  <si>
    <t>Отчетный период 2013 г.</t>
  </si>
  <si>
    <t>План 2013г  * )</t>
  </si>
  <si>
    <t>Факт 2012 г.</t>
  </si>
  <si>
    <t>2013г**)</t>
  </si>
  <si>
    <t>План регулируемого периода
2014год.</t>
  </si>
  <si>
    <t>ООО "БЭУ"; "Строительная
 компания"</t>
  </si>
  <si>
    <t>10.1.5.2</t>
  </si>
  <si>
    <t>Общеэксплуатационные расходы,
 в т.ч.</t>
  </si>
  <si>
    <t>Инвестиционная надбавка, 
руб./м3 (без НДС)</t>
  </si>
  <si>
    <t>Инвестиционная надбавка,
 руб./м3 (с НДС)</t>
  </si>
  <si>
    <t>Тариф с учетом надбавки,
 руб./м3 (без НДС)</t>
  </si>
  <si>
    <t>Тариф с учетом надбавки, 
руб./м3 (с НДС)</t>
  </si>
  <si>
    <t>Директор ООО "УТС"                                           В.Г.Годунов.</t>
  </si>
  <si>
    <t>Ведущий экономист                                               Г.Г.Тихонюк.</t>
  </si>
  <si>
    <t>стр.52</t>
  </si>
  <si>
    <t>стр.74</t>
  </si>
  <si>
    <t>стр.96</t>
  </si>
  <si>
    <t>стр.107</t>
  </si>
  <si>
    <t>стр.110</t>
  </si>
  <si>
    <t>стр.111</t>
  </si>
  <si>
    <t>стр.179</t>
  </si>
  <si>
    <t>стр.126</t>
  </si>
  <si>
    <t>стр.202</t>
  </si>
  <si>
    <t>стр.205</t>
  </si>
  <si>
    <t>стр.207</t>
  </si>
  <si>
    <t>стр.216</t>
  </si>
  <si>
    <t>договор стр.206-214</t>
  </si>
  <si>
    <t>стр.217</t>
  </si>
  <si>
    <t>стр.236</t>
  </si>
  <si>
    <t>стр.219</t>
  </si>
  <si>
    <t>стр.237</t>
  </si>
  <si>
    <t>стр.336</t>
  </si>
  <si>
    <t>стр.26</t>
  </si>
  <si>
    <t>стр.342</t>
  </si>
  <si>
    <t>И ПРЕДВАРИТЕЛЬНЫЙ РАСЧЕТ ТАРИФА НА ПИТЬЕВУЮ ВОДУ</t>
  </si>
  <si>
    <t>стр.74При утверждении тарифа на питьевую воду на 2013год, в статье затраты на оплату основного персонала была сделана корректировка численности обслуживающего персонала (уменьшили на 1,5ед. в связи с тем, что глубинная скважина «Береговая» находилась на ремонте). В декабре 2012года пробурена скважина п.Урал по ул.Береговая1.  Подача воды из скважины Береговая  повлекло за собой увеличение обслуживающего персонала, что привело к увеличению фонда оплаты труда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</si>
</sst>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"/>
    <numFmt numFmtId="175" formatCode="[$-FC19]d\ mmmm\ yyyy\ &quot;г.&quot;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8"/>
      <color indexed="12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sz val="7"/>
      <name val="Arial Cyr"/>
      <family val="0"/>
    </font>
    <font>
      <sz val="6.8"/>
      <name val="Arial Cyr"/>
      <family val="0"/>
    </font>
    <font>
      <sz val="6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6"/>
      <name val="Arial Cyr"/>
      <family val="0"/>
    </font>
    <font>
      <b/>
      <sz val="8"/>
      <color indexed="36"/>
      <name val="Arial Cyr"/>
      <family val="0"/>
    </font>
    <font>
      <b/>
      <i/>
      <sz val="11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1"/>
      <color indexed="36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Arial Cyr"/>
      <family val="0"/>
    </font>
    <font>
      <b/>
      <sz val="8"/>
      <color rgb="FF7030A0"/>
      <name val="Arial Cyr"/>
      <family val="0"/>
    </font>
    <font>
      <b/>
      <i/>
      <sz val="11"/>
      <color rgb="FFFF0000"/>
      <name val="Times New Roman"/>
      <family val="1"/>
    </font>
    <font>
      <b/>
      <i/>
      <sz val="10"/>
      <color rgb="FFFF0000"/>
      <name val="Arial"/>
      <family val="2"/>
    </font>
    <font>
      <b/>
      <sz val="11"/>
      <color rgb="FF7030A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7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15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Fill="1" applyBorder="1" applyAlignment="1">
      <alignment wrapText="1"/>
    </xf>
    <xf numFmtId="2" fontId="68" fillId="0" borderId="10" xfId="0" applyNumberFormat="1" applyFont="1" applyFill="1" applyBorder="1" applyAlignment="1">
      <alignment wrapText="1"/>
    </xf>
    <xf numFmtId="0" fontId="67" fillId="0" borderId="10" xfId="0" applyFont="1" applyFill="1" applyBorder="1" applyAlignment="1">
      <alignment/>
    </xf>
    <xf numFmtId="0" fontId="16" fillId="0" borderId="0" xfId="52">
      <alignment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16" fillId="0" borderId="0" xfId="52" applyBorder="1" applyAlignment="1">
      <alignment horizontal="center"/>
      <protection/>
    </xf>
    <xf numFmtId="0" fontId="17" fillId="0" borderId="0" xfId="52" applyFont="1" applyAlignment="1">
      <alignment horizontal="left" indent="2"/>
      <protection/>
    </xf>
    <xf numFmtId="0" fontId="17" fillId="0" borderId="0" xfId="52" applyFont="1" applyAlignment="1">
      <alignment horizontal="left" indent="3"/>
      <protection/>
    </xf>
    <xf numFmtId="0" fontId="17" fillId="0" borderId="0" xfId="52" applyFont="1" applyAlignment="1">
      <alignment horizontal="justify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top" wrapText="1"/>
      <protection/>
    </xf>
    <xf numFmtId="0" fontId="18" fillId="0" borderId="10" xfId="52" applyFont="1" applyBorder="1" applyAlignment="1">
      <alignment horizontal="left" vertical="top" wrapText="1"/>
      <protection/>
    </xf>
    <xf numFmtId="0" fontId="21" fillId="0" borderId="10" xfId="52" applyFont="1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justify" vertical="top" wrapText="1"/>
      <protection/>
    </xf>
    <xf numFmtId="0" fontId="22" fillId="0" borderId="10" xfId="52" applyFont="1" applyBorder="1" applyAlignment="1">
      <alignment horizontal="justify" vertical="top" wrapText="1"/>
      <protection/>
    </xf>
    <xf numFmtId="0" fontId="22" fillId="0" borderId="10" xfId="52" applyFont="1" applyBorder="1" applyAlignment="1">
      <alignment horizontal="center" vertical="top" wrapText="1"/>
      <protection/>
    </xf>
    <xf numFmtId="0" fontId="22" fillId="0" borderId="10" xfId="52" applyFont="1" applyBorder="1" applyAlignment="1">
      <alignment vertical="top" wrapText="1"/>
      <protection/>
    </xf>
    <xf numFmtId="0" fontId="21" fillId="0" borderId="10" xfId="52" applyFont="1" applyBorder="1" applyAlignment="1">
      <alignment vertical="top" wrapText="1"/>
      <protection/>
    </xf>
    <xf numFmtId="49" fontId="21" fillId="0" borderId="10" xfId="52" applyNumberFormat="1" applyFont="1" applyBorder="1" applyAlignment="1">
      <alignment horizontal="center" vertical="top" wrapText="1"/>
      <protection/>
    </xf>
    <xf numFmtId="0" fontId="23" fillId="0" borderId="10" xfId="52" applyFont="1" applyBorder="1" applyAlignment="1">
      <alignment horizontal="justify" vertical="top" wrapText="1"/>
      <protection/>
    </xf>
    <xf numFmtId="49" fontId="22" fillId="0" borderId="10" xfId="52" applyNumberFormat="1" applyFont="1" applyBorder="1" applyAlignment="1">
      <alignment horizontal="center" vertical="top" wrapText="1"/>
      <protection/>
    </xf>
    <xf numFmtId="0" fontId="24" fillId="0" borderId="10" xfId="52" applyFont="1" applyBorder="1" applyAlignment="1">
      <alignment horizontal="justify" vertical="top" wrapText="1"/>
      <protection/>
    </xf>
    <xf numFmtId="0" fontId="24" fillId="0" borderId="10" xfId="52" applyFont="1" applyBorder="1" applyAlignment="1">
      <alignment vertical="top" wrapText="1"/>
      <protection/>
    </xf>
    <xf numFmtId="2" fontId="22" fillId="0" borderId="10" xfId="52" applyNumberFormat="1" applyFont="1" applyBorder="1" applyAlignment="1">
      <alignment horizontal="justify" vertical="top" wrapText="1"/>
      <protection/>
    </xf>
    <xf numFmtId="0" fontId="69" fillId="0" borderId="10" xfId="52" applyFont="1" applyBorder="1" applyAlignment="1">
      <alignment horizontal="center" vertical="top" wrapText="1"/>
      <protection/>
    </xf>
    <xf numFmtId="0" fontId="69" fillId="0" borderId="10" xfId="52" applyFont="1" applyBorder="1" applyAlignment="1">
      <alignment horizontal="justify" vertical="top" wrapText="1"/>
      <protection/>
    </xf>
    <xf numFmtId="2" fontId="69" fillId="0" borderId="10" xfId="52" applyNumberFormat="1" applyFont="1" applyBorder="1" applyAlignment="1">
      <alignment horizontal="justify" vertical="top" wrapText="1"/>
      <protection/>
    </xf>
    <xf numFmtId="0" fontId="70" fillId="0" borderId="0" xfId="52" applyFont="1">
      <alignment/>
      <protection/>
    </xf>
    <xf numFmtId="0" fontId="71" fillId="0" borderId="10" xfId="52" applyFont="1" applyBorder="1" applyAlignment="1">
      <alignment horizontal="center" vertical="top" wrapText="1"/>
      <protection/>
    </xf>
    <xf numFmtId="0" fontId="71" fillId="0" borderId="10" xfId="52" applyFont="1" applyBorder="1" applyAlignment="1">
      <alignment horizontal="justify" vertical="top" wrapText="1"/>
      <protection/>
    </xf>
    <xf numFmtId="2" fontId="71" fillId="0" borderId="10" xfId="52" applyNumberFormat="1" applyFont="1" applyBorder="1" applyAlignment="1">
      <alignment horizontal="justify" vertical="top" wrapText="1"/>
      <protection/>
    </xf>
    <xf numFmtId="2" fontId="22" fillId="0" borderId="10" xfId="52" applyNumberFormat="1" applyFont="1" applyBorder="1" applyAlignment="1">
      <alignment vertical="top" wrapText="1"/>
      <protection/>
    </xf>
    <xf numFmtId="0" fontId="72" fillId="0" borderId="10" xfId="52" applyFont="1" applyBorder="1" applyAlignment="1">
      <alignment horizontal="justify" vertical="top" wrapText="1"/>
      <protection/>
    </xf>
    <xf numFmtId="172" fontId="22" fillId="0" borderId="10" xfId="52" applyNumberFormat="1" applyFont="1" applyBorder="1" applyAlignment="1">
      <alignment horizontal="justify" vertical="top" wrapText="1"/>
      <protection/>
    </xf>
    <xf numFmtId="1" fontId="18" fillId="0" borderId="10" xfId="52" applyNumberFormat="1" applyFont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horizontal="left"/>
      <protection/>
    </xf>
    <xf numFmtId="0" fontId="17" fillId="0" borderId="0" xfId="52" applyFont="1" applyAlignment="1">
      <alignment horizontal="right"/>
      <protection/>
    </xf>
    <xf numFmtId="0" fontId="19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16" fillId="0" borderId="0" xfId="52" applyBorder="1" applyAlignment="1">
      <alignment horizontal="center"/>
      <protection/>
    </xf>
    <xf numFmtId="2" fontId="49" fillId="0" borderId="10" xfId="52" applyNumberFormat="1" applyFont="1" applyBorder="1" applyAlignment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37">
      <selection activeCell="B50" sqref="B50"/>
    </sheetView>
  </sheetViews>
  <sheetFormatPr defaultColWidth="9.00390625" defaultRowHeight="12.75"/>
  <cols>
    <col min="1" max="1" width="7.75390625" style="0" customWidth="1"/>
    <col min="2" max="2" width="33.875" style="0" customWidth="1"/>
    <col min="3" max="3" width="9.125" style="0" customWidth="1"/>
    <col min="4" max="4" width="12.625" style="0" customWidth="1"/>
    <col min="5" max="5" width="9.875" style="20" customWidth="1"/>
    <col min="6" max="6" width="13.25390625" style="20" customWidth="1"/>
    <col min="7" max="7" width="15.25390625" style="0" customWidth="1"/>
  </cols>
  <sheetData>
    <row r="1" spans="6:7" ht="12.75">
      <c r="F1" s="104" t="s">
        <v>95</v>
      </c>
      <c r="G1" s="104"/>
    </row>
    <row r="2" spans="1:7" ht="12.75">
      <c r="A2" s="105" t="s">
        <v>36</v>
      </c>
      <c r="B2" s="105"/>
      <c r="C2" s="105"/>
      <c r="D2" s="105"/>
      <c r="E2" s="105"/>
      <c r="F2" s="105"/>
      <c r="G2" s="105"/>
    </row>
    <row r="3" spans="1:7" ht="12.75">
      <c r="A3" s="105" t="s">
        <v>37</v>
      </c>
      <c r="B3" s="105"/>
      <c r="C3" s="105"/>
      <c r="D3" s="105"/>
      <c r="E3" s="105"/>
      <c r="F3" s="105"/>
      <c r="G3" s="105"/>
    </row>
    <row r="4" spans="1:7" ht="12.75">
      <c r="A4" s="105" t="s">
        <v>81</v>
      </c>
      <c r="B4" s="105"/>
      <c r="C4" s="105"/>
      <c r="D4" s="105"/>
      <c r="E4" s="105"/>
      <c r="F4" s="105"/>
      <c r="G4" s="105"/>
    </row>
    <row r="5" spans="1:7" ht="12.75">
      <c r="A5" s="106" t="s">
        <v>38</v>
      </c>
      <c r="B5" s="106"/>
      <c r="C5" s="106"/>
      <c r="D5" s="106"/>
      <c r="E5" s="106"/>
      <c r="F5" s="106"/>
      <c r="G5" s="106"/>
    </row>
    <row r="6" spans="1:7" ht="12.75">
      <c r="A6" s="3"/>
      <c r="B6" s="3"/>
      <c r="C6" s="3"/>
      <c r="D6" s="3"/>
      <c r="E6" s="3"/>
      <c r="F6" s="47"/>
      <c r="G6" s="3"/>
    </row>
    <row r="7" spans="1:7" ht="12.75">
      <c r="A7" s="92" t="s">
        <v>93</v>
      </c>
      <c r="B7" s="107"/>
      <c r="C7" s="107"/>
      <c r="D7" s="107"/>
      <c r="E7" s="107"/>
      <c r="F7" s="47"/>
      <c r="G7" s="3"/>
    </row>
    <row r="8" spans="1:5" ht="12.75">
      <c r="A8" s="93" t="s">
        <v>126</v>
      </c>
      <c r="B8" s="94"/>
      <c r="C8" s="94"/>
      <c r="D8" s="94"/>
      <c r="E8" s="94"/>
    </row>
    <row r="9" spans="1:7" ht="21.75" customHeight="1">
      <c r="A9" s="95" t="s">
        <v>0</v>
      </c>
      <c r="B9" s="97" t="s">
        <v>1</v>
      </c>
      <c r="C9" s="99" t="s">
        <v>127</v>
      </c>
      <c r="D9" s="101" t="s">
        <v>128</v>
      </c>
      <c r="E9" s="102"/>
      <c r="F9" s="99" t="s">
        <v>190</v>
      </c>
      <c r="G9" s="90" t="s">
        <v>2</v>
      </c>
    </row>
    <row r="10" spans="1:7" ht="29.25">
      <c r="A10" s="96"/>
      <c r="B10" s="98"/>
      <c r="C10" s="100"/>
      <c r="D10" s="42" t="s">
        <v>94</v>
      </c>
      <c r="E10" s="39" t="s">
        <v>123</v>
      </c>
      <c r="F10" s="103"/>
      <c r="G10" s="91"/>
    </row>
    <row r="11" spans="1:7" ht="12.75">
      <c r="A11" s="41">
        <v>1</v>
      </c>
      <c r="B11" s="40">
        <v>2</v>
      </c>
      <c r="C11" s="38">
        <v>3</v>
      </c>
      <c r="D11" s="42">
        <v>4</v>
      </c>
      <c r="E11" s="39">
        <v>5</v>
      </c>
      <c r="F11" s="39">
        <v>6</v>
      </c>
      <c r="G11" s="42">
        <v>7</v>
      </c>
    </row>
    <row r="12" spans="1:7" s="2" customFormat="1" ht="12.75">
      <c r="A12" s="5" t="s">
        <v>4</v>
      </c>
      <c r="B12" s="14" t="s">
        <v>3</v>
      </c>
      <c r="C12" s="14">
        <v>0</v>
      </c>
      <c r="D12" s="14">
        <v>0</v>
      </c>
      <c r="E12" s="14">
        <v>0</v>
      </c>
      <c r="F12" s="14">
        <v>0</v>
      </c>
      <c r="G12" s="14"/>
    </row>
    <row r="13" spans="1:7" s="2" customFormat="1" ht="22.5">
      <c r="A13" s="5" t="s">
        <v>5</v>
      </c>
      <c r="B13" s="23" t="s">
        <v>42</v>
      </c>
      <c r="C13" s="14">
        <v>334.4</v>
      </c>
      <c r="D13" s="14">
        <v>242.7</v>
      </c>
      <c r="E13" s="14"/>
      <c r="F13" s="14"/>
      <c r="G13" s="14" t="s">
        <v>102</v>
      </c>
    </row>
    <row r="14" spans="1:7" s="2" customFormat="1" ht="22.5">
      <c r="A14" s="5" t="s">
        <v>6</v>
      </c>
      <c r="B14" s="23" t="s">
        <v>43</v>
      </c>
      <c r="C14" s="14">
        <v>605.74</v>
      </c>
      <c r="D14" s="14">
        <v>397.88</v>
      </c>
      <c r="E14" s="16"/>
      <c r="F14" s="22"/>
      <c r="G14" s="14" t="s">
        <v>103</v>
      </c>
    </row>
    <row r="15" spans="1:7" ht="12.75">
      <c r="A15" s="51" t="s">
        <v>130</v>
      </c>
      <c r="B15" s="12" t="s">
        <v>44</v>
      </c>
      <c r="C15" s="6">
        <v>4</v>
      </c>
      <c r="D15" s="6">
        <v>2.5</v>
      </c>
      <c r="E15" s="6">
        <v>4</v>
      </c>
      <c r="F15" s="6">
        <v>4</v>
      </c>
      <c r="G15" s="6" t="s">
        <v>104</v>
      </c>
    </row>
    <row r="16" spans="1:7" ht="12.75">
      <c r="A16" s="1" t="s">
        <v>131</v>
      </c>
      <c r="B16" s="12" t="s">
        <v>45</v>
      </c>
      <c r="C16" s="6">
        <v>4473</v>
      </c>
      <c r="D16" s="6">
        <v>4741.4</v>
      </c>
      <c r="E16" s="6"/>
      <c r="F16" s="6">
        <v>4741.4</v>
      </c>
      <c r="G16" s="6" t="s">
        <v>105</v>
      </c>
    </row>
    <row r="17" spans="1:7" ht="12.75">
      <c r="A17" s="1" t="s">
        <v>132</v>
      </c>
      <c r="B17" s="12" t="s">
        <v>46</v>
      </c>
      <c r="C17" s="6">
        <v>4</v>
      </c>
      <c r="D17" s="6">
        <v>2</v>
      </c>
      <c r="E17" s="6">
        <v>4</v>
      </c>
      <c r="F17" s="6">
        <v>2</v>
      </c>
      <c r="G17" s="6"/>
    </row>
    <row r="18" spans="1:7" ht="22.5">
      <c r="A18" s="1" t="s">
        <v>133</v>
      </c>
      <c r="B18" s="12" t="s">
        <v>82</v>
      </c>
      <c r="C18" s="15">
        <f>C14/12/4*1000</f>
        <v>12619.583333333332</v>
      </c>
      <c r="D18" s="15">
        <f>D14/12/2.5*1000</f>
        <v>13262.666666666666</v>
      </c>
      <c r="E18" s="15">
        <f>E14/6/4*1000</f>
        <v>0</v>
      </c>
      <c r="F18" s="6">
        <f>F14/12/4*1000</f>
        <v>0</v>
      </c>
      <c r="G18" s="6"/>
    </row>
    <row r="19" spans="1:7" s="2" customFormat="1" ht="12.75">
      <c r="A19" s="5" t="s">
        <v>7</v>
      </c>
      <c r="B19" s="23" t="s">
        <v>11</v>
      </c>
      <c r="C19" s="16">
        <f>C14*0.302</f>
        <v>182.93348</v>
      </c>
      <c r="D19" s="16">
        <f>D14*0.302</f>
        <v>120.15975999999999</v>
      </c>
      <c r="E19" s="16">
        <f>E14*0.302</f>
        <v>0</v>
      </c>
      <c r="F19" s="22">
        <f>F14*0.302</f>
        <v>0</v>
      </c>
      <c r="G19" s="14"/>
    </row>
    <row r="20" spans="1:7" ht="12.75">
      <c r="A20" s="1" t="s">
        <v>134</v>
      </c>
      <c r="B20" s="6" t="s">
        <v>47</v>
      </c>
      <c r="C20" s="6">
        <v>30.2</v>
      </c>
      <c r="D20" s="6">
        <v>30.2</v>
      </c>
      <c r="E20" s="6">
        <v>30.2</v>
      </c>
      <c r="F20" s="6">
        <v>30.2</v>
      </c>
      <c r="G20" s="14" t="s">
        <v>106</v>
      </c>
    </row>
    <row r="21" spans="1:7" s="2" customFormat="1" ht="12.75">
      <c r="A21" s="5" t="s">
        <v>8</v>
      </c>
      <c r="B21" s="14" t="s">
        <v>83</v>
      </c>
      <c r="C21" s="14">
        <f>C22+C23</f>
        <v>31</v>
      </c>
      <c r="D21" s="14">
        <f>D22+D23</f>
        <v>21.38</v>
      </c>
      <c r="E21" s="14">
        <f>E22+E23</f>
        <v>0</v>
      </c>
      <c r="F21" s="22">
        <f>F22+F23</f>
        <v>0</v>
      </c>
      <c r="G21" s="14"/>
    </row>
    <row r="22" spans="1:7" s="2" customFormat="1" ht="12.75">
      <c r="A22" s="5" t="s">
        <v>135</v>
      </c>
      <c r="B22" s="6" t="s">
        <v>84</v>
      </c>
      <c r="C22" s="14">
        <v>0</v>
      </c>
      <c r="D22" s="14">
        <v>0</v>
      </c>
      <c r="E22" s="14">
        <v>0</v>
      </c>
      <c r="F22" s="14">
        <v>0</v>
      </c>
      <c r="G22" s="14"/>
    </row>
    <row r="23" spans="1:7" ht="12.75">
      <c r="A23" s="1" t="s">
        <v>136</v>
      </c>
      <c r="B23" s="6" t="s">
        <v>85</v>
      </c>
      <c r="C23" s="6">
        <v>31</v>
      </c>
      <c r="D23" s="6">
        <v>21.38</v>
      </c>
      <c r="E23" s="11"/>
      <c r="F23" s="15"/>
      <c r="G23" s="6" t="s">
        <v>107</v>
      </c>
    </row>
    <row r="24" spans="1:7" ht="22.5">
      <c r="A24" s="52" t="s">
        <v>9</v>
      </c>
      <c r="B24" s="53" t="s">
        <v>48</v>
      </c>
      <c r="C24" s="54">
        <f>C25+C26+C30+C31+C32</f>
        <v>1394.06772</v>
      </c>
      <c r="D24" s="54">
        <f>D25+D26+D30+D31+D32</f>
        <v>1301.6521400000001</v>
      </c>
      <c r="E24" s="53">
        <f>E25+E26+E30+E31+E32</f>
        <v>0</v>
      </c>
      <c r="F24" s="53">
        <f>F25+F26+F30+F31+F32</f>
        <v>0</v>
      </c>
      <c r="G24" s="55" t="s">
        <v>108</v>
      </c>
    </row>
    <row r="25" spans="1:7" ht="12.75">
      <c r="A25" s="1" t="s">
        <v>12</v>
      </c>
      <c r="B25" s="17" t="s">
        <v>17</v>
      </c>
      <c r="C25" s="13">
        <v>95.3</v>
      </c>
      <c r="D25" s="13">
        <v>77.03</v>
      </c>
      <c r="E25" s="31"/>
      <c r="F25" s="13"/>
      <c r="G25" s="6" t="s">
        <v>109</v>
      </c>
    </row>
    <row r="26" spans="1:7" ht="22.5">
      <c r="A26" s="1" t="s">
        <v>14</v>
      </c>
      <c r="B26" s="17" t="s">
        <v>49</v>
      </c>
      <c r="C26" s="13">
        <v>824.86</v>
      </c>
      <c r="D26" s="13">
        <v>940.57</v>
      </c>
      <c r="E26" s="31"/>
      <c r="F26" s="13"/>
      <c r="G26" s="6" t="s">
        <v>103</v>
      </c>
    </row>
    <row r="27" spans="1:7" ht="12.75">
      <c r="A27" s="1" t="s">
        <v>137</v>
      </c>
      <c r="B27" s="17" t="s">
        <v>50</v>
      </c>
      <c r="C27" s="13">
        <v>5</v>
      </c>
      <c r="D27" s="13">
        <v>5</v>
      </c>
      <c r="E27" s="13">
        <v>5</v>
      </c>
      <c r="F27" s="13">
        <v>5</v>
      </c>
      <c r="G27" s="6" t="s">
        <v>110</v>
      </c>
    </row>
    <row r="28" spans="1:7" ht="12.75">
      <c r="A28" s="1" t="s">
        <v>138</v>
      </c>
      <c r="B28" s="17" t="s">
        <v>46</v>
      </c>
      <c r="C28" s="13">
        <v>5</v>
      </c>
      <c r="D28" s="13">
        <v>3.6</v>
      </c>
      <c r="E28" s="13">
        <v>5</v>
      </c>
      <c r="F28" s="13">
        <v>3.6</v>
      </c>
      <c r="G28" s="6"/>
    </row>
    <row r="29" spans="1:7" ht="22.5">
      <c r="A29" s="1" t="s">
        <v>139</v>
      </c>
      <c r="B29" s="17" t="s">
        <v>86</v>
      </c>
      <c r="C29" s="31">
        <f>C26/12/C27*1000</f>
        <v>13747.666666666666</v>
      </c>
      <c r="D29" s="19">
        <f>D26/12/5*1000</f>
        <v>15676.16666666667</v>
      </c>
      <c r="E29" s="31">
        <f>E26/6/5*1000</f>
        <v>0</v>
      </c>
      <c r="F29" s="13">
        <f>F26/12/5*1000</f>
        <v>0</v>
      </c>
      <c r="G29" s="6"/>
    </row>
    <row r="30" spans="1:7" ht="12.75">
      <c r="A30" s="1" t="s">
        <v>15</v>
      </c>
      <c r="B30" s="17" t="s">
        <v>51</v>
      </c>
      <c r="C30" s="31">
        <f>C26*0.302</f>
        <v>249.10772</v>
      </c>
      <c r="D30" s="31">
        <f>D26*0.302</f>
        <v>284.05214</v>
      </c>
      <c r="E30" s="31">
        <f>E26*0.302</f>
        <v>0</v>
      </c>
      <c r="F30" s="19">
        <f>F26*0.302</f>
        <v>0</v>
      </c>
      <c r="G30" s="6"/>
    </row>
    <row r="31" spans="1:8" ht="12.75">
      <c r="A31" s="1" t="s">
        <v>16</v>
      </c>
      <c r="B31" s="13" t="s">
        <v>13</v>
      </c>
      <c r="C31" s="13">
        <v>224.8</v>
      </c>
      <c r="D31" s="13">
        <v>0</v>
      </c>
      <c r="E31" s="13"/>
      <c r="F31" s="13"/>
      <c r="G31" s="6" t="s">
        <v>111</v>
      </c>
      <c r="H31" s="4"/>
    </row>
    <row r="32" spans="1:8" ht="12.75">
      <c r="A32" s="1" t="s">
        <v>52</v>
      </c>
      <c r="B32" s="17" t="s">
        <v>140</v>
      </c>
      <c r="C32" s="13">
        <v>0</v>
      </c>
      <c r="D32" s="13">
        <v>0</v>
      </c>
      <c r="E32" s="13">
        <v>0</v>
      </c>
      <c r="F32" s="13">
        <v>0</v>
      </c>
      <c r="G32" s="6"/>
      <c r="H32" s="4"/>
    </row>
    <row r="33" spans="1:7" s="2" customFormat="1" ht="22.5">
      <c r="A33" s="5" t="s">
        <v>18</v>
      </c>
      <c r="B33" s="23" t="s">
        <v>19</v>
      </c>
      <c r="C33" s="23">
        <v>0</v>
      </c>
      <c r="D33" s="23">
        <v>0</v>
      </c>
      <c r="E33" s="14">
        <v>0</v>
      </c>
      <c r="F33" s="14">
        <v>0</v>
      </c>
      <c r="G33" s="14"/>
    </row>
    <row r="34" spans="1:7" s="2" customFormat="1" ht="12.75">
      <c r="A34" s="5" t="s">
        <v>20</v>
      </c>
      <c r="B34" s="14" t="s">
        <v>141</v>
      </c>
      <c r="C34" s="14">
        <f>C35+C36</f>
        <v>21.6</v>
      </c>
      <c r="D34" s="14">
        <f>D35+D36</f>
        <v>5.86</v>
      </c>
      <c r="E34" s="14">
        <f>E35+E36</f>
        <v>0</v>
      </c>
      <c r="F34" s="14">
        <f>F35+F36</f>
        <v>0</v>
      </c>
      <c r="G34" s="14" t="s">
        <v>112</v>
      </c>
    </row>
    <row r="35" spans="1:7" ht="12.75">
      <c r="A35" s="1" t="s">
        <v>41</v>
      </c>
      <c r="B35" s="6" t="s">
        <v>54</v>
      </c>
      <c r="C35" s="6">
        <v>21.6</v>
      </c>
      <c r="D35" s="6">
        <v>5.86</v>
      </c>
      <c r="E35" s="6"/>
      <c r="F35" s="6"/>
      <c r="G35" s="6" t="s">
        <v>113</v>
      </c>
    </row>
    <row r="36" spans="1:7" ht="12.75">
      <c r="A36" s="1" t="s">
        <v>53</v>
      </c>
      <c r="B36" s="6" t="s">
        <v>55</v>
      </c>
      <c r="C36" s="6">
        <v>0</v>
      </c>
      <c r="D36" s="6">
        <v>0</v>
      </c>
      <c r="E36" s="6">
        <v>0</v>
      </c>
      <c r="F36" s="6">
        <v>0</v>
      </c>
      <c r="G36" s="6"/>
    </row>
    <row r="37" spans="1:7" s="2" customFormat="1" ht="12.75">
      <c r="A37" s="5" t="s">
        <v>22</v>
      </c>
      <c r="B37" s="14" t="s">
        <v>23</v>
      </c>
      <c r="C37" s="14">
        <f>1365.7+52.1</f>
        <v>1417.8</v>
      </c>
      <c r="D37" s="14">
        <v>1662.87</v>
      </c>
      <c r="E37" s="14"/>
      <c r="F37" s="14"/>
      <c r="G37" s="14" t="s">
        <v>114</v>
      </c>
    </row>
    <row r="38" spans="1:7" ht="17.25">
      <c r="A38" s="1" t="s">
        <v>160</v>
      </c>
      <c r="B38" s="6" t="s">
        <v>56</v>
      </c>
      <c r="C38" s="6">
        <v>0</v>
      </c>
      <c r="D38" s="50" t="s">
        <v>129</v>
      </c>
      <c r="E38" s="6">
        <v>0</v>
      </c>
      <c r="F38" s="48"/>
      <c r="G38" s="14"/>
    </row>
    <row r="39" spans="1:7" ht="12.75">
      <c r="A39" s="1" t="s">
        <v>161</v>
      </c>
      <c r="B39" s="12" t="s">
        <v>57</v>
      </c>
      <c r="C39" s="6">
        <v>33.25</v>
      </c>
      <c r="D39" s="6">
        <v>55.54</v>
      </c>
      <c r="E39" s="6"/>
      <c r="F39" s="6"/>
      <c r="G39" s="14" t="s">
        <v>114</v>
      </c>
    </row>
    <row r="40" spans="1:7" ht="12.75">
      <c r="A40" s="1" t="s">
        <v>162</v>
      </c>
      <c r="B40" s="12" t="s">
        <v>58</v>
      </c>
      <c r="C40" s="11">
        <f>C37/C39</f>
        <v>42.6406015037594</v>
      </c>
      <c r="D40" s="6">
        <v>29.94</v>
      </c>
      <c r="E40" s="11" t="e">
        <f>E37/E39</f>
        <v>#DIV/0!</v>
      </c>
      <c r="F40" s="6"/>
      <c r="G40" s="14" t="s">
        <v>115</v>
      </c>
    </row>
    <row r="41" spans="1:7" s="10" customFormat="1" ht="12.75">
      <c r="A41" s="5" t="s">
        <v>24</v>
      </c>
      <c r="B41" s="23" t="s">
        <v>25</v>
      </c>
      <c r="C41" s="16">
        <f>C42+C57</f>
        <v>2121.3043</v>
      </c>
      <c r="D41" s="16">
        <f>D42+D57</f>
        <v>1500.1598000000001</v>
      </c>
      <c r="E41" s="16">
        <f>E42+E57</f>
        <v>0</v>
      </c>
      <c r="F41" s="16">
        <f>F42+F57</f>
        <v>0</v>
      </c>
      <c r="G41" s="6"/>
    </row>
    <row r="42" spans="1:7" s="21" customFormat="1" ht="12.75">
      <c r="A42" s="25" t="s">
        <v>142</v>
      </c>
      <c r="B42" s="24" t="s">
        <v>143</v>
      </c>
      <c r="C42" s="32">
        <f>C43+C47+C48+C49</f>
        <v>1129.7047</v>
      </c>
      <c r="D42" s="32">
        <f>D43+D47+D48+D49</f>
        <v>1186.8828</v>
      </c>
      <c r="E42" s="34">
        <f>E43+E47+E48+E49+E50+E52</f>
        <v>0</v>
      </c>
      <c r="F42" s="32">
        <f>F43+F47+F48+F49+F50+F52</f>
        <v>0</v>
      </c>
      <c r="G42" s="6" t="s">
        <v>116</v>
      </c>
    </row>
    <row r="43" spans="1:7" ht="12.75">
      <c r="A43" s="1" t="s">
        <v>144</v>
      </c>
      <c r="B43" s="17" t="s">
        <v>59</v>
      </c>
      <c r="C43" s="13">
        <v>699.85</v>
      </c>
      <c r="D43" s="13">
        <v>776.4</v>
      </c>
      <c r="E43" s="11"/>
      <c r="F43" s="6"/>
      <c r="G43" s="6" t="s">
        <v>117</v>
      </c>
    </row>
    <row r="44" spans="1:7" ht="12.75">
      <c r="A44" s="1" t="s">
        <v>145</v>
      </c>
      <c r="B44" s="17" t="s">
        <v>60</v>
      </c>
      <c r="C44" s="13">
        <v>3.5</v>
      </c>
      <c r="D44" s="13">
        <v>3.5</v>
      </c>
      <c r="E44" s="6">
        <v>3.5</v>
      </c>
      <c r="F44" s="6">
        <v>3.5</v>
      </c>
      <c r="G44" s="6" t="s">
        <v>104</v>
      </c>
    </row>
    <row r="45" spans="1:7" ht="12.75">
      <c r="A45" s="1" t="s">
        <v>146</v>
      </c>
      <c r="B45" s="13" t="s">
        <v>46</v>
      </c>
      <c r="C45" s="13">
        <v>5</v>
      </c>
      <c r="D45" s="13">
        <v>5</v>
      </c>
      <c r="E45" s="6">
        <v>5</v>
      </c>
      <c r="F45" s="6">
        <v>5</v>
      </c>
      <c r="G45" s="6"/>
    </row>
    <row r="46" spans="1:7" ht="12.75">
      <c r="A46" s="1" t="s">
        <v>147</v>
      </c>
      <c r="B46" s="17" t="s">
        <v>148</v>
      </c>
      <c r="C46" s="19">
        <f>C43/12/C44*1000</f>
        <v>16663.095238095237</v>
      </c>
      <c r="D46" s="19">
        <f>D43/12/3.5*1000</f>
        <v>18485.714285714286</v>
      </c>
      <c r="E46" s="11">
        <f>E43/6/E44*1000</f>
        <v>0</v>
      </c>
      <c r="F46" s="11">
        <f>F43/12/3.5*1000</f>
        <v>0</v>
      </c>
      <c r="G46" s="6"/>
    </row>
    <row r="47" spans="1:7" ht="12.75">
      <c r="A47" s="1" t="s">
        <v>149</v>
      </c>
      <c r="B47" s="17" t="s">
        <v>61</v>
      </c>
      <c r="C47" s="31">
        <f>C43*0.302</f>
        <v>211.3547</v>
      </c>
      <c r="D47" s="31">
        <f>D43*0.302</f>
        <v>234.47279999999998</v>
      </c>
      <c r="E47" s="11">
        <f>E43*0.342</f>
        <v>0</v>
      </c>
      <c r="F47" s="15">
        <f>F43*0.302</f>
        <v>0</v>
      </c>
      <c r="G47" s="6"/>
    </row>
    <row r="48" spans="1:7" ht="12.75">
      <c r="A48" s="1" t="s">
        <v>150</v>
      </c>
      <c r="B48" s="13" t="s">
        <v>10</v>
      </c>
      <c r="C48" s="13">
        <v>4.6</v>
      </c>
      <c r="D48" s="13">
        <v>4.22</v>
      </c>
      <c r="E48" s="6"/>
      <c r="F48" s="6"/>
      <c r="G48" s="6" t="s">
        <v>102</v>
      </c>
    </row>
    <row r="49" spans="1:7" ht="12.75">
      <c r="A49" s="1" t="s">
        <v>151</v>
      </c>
      <c r="B49" s="13" t="s">
        <v>152</v>
      </c>
      <c r="C49" s="13">
        <f>C50+C51+C52</f>
        <v>213.89999999999998</v>
      </c>
      <c r="D49" s="13">
        <f>D50+D51+D52</f>
        <v>171.79</v>
      </c>
      <c r="E49" s="13">
        <f>E50+E51+E52</f>
        <v>0</v>
      </c>
      <c r="F49" s="13">
        <f>F50+F51+F52</f>
        <v>0</v>
      </c>
      <c r="G49" s="6" t="s">
        <v>118</v>
      </c>
    </row>
    <row r="50" spans="1:7" ht="12.75">
      <c r="A50" s="1" t="s">
        <v>163</v>
      </c>
      <c r="B50" s="13" t="s">
        <v>153</v>
      </c>
      <c r="C50" s="13">
        <v>30.8</v>
      </c>
      <c r="D50" s="13">
        <v>30.67</v>
      </c>
      <c r="E50" s="6"/>
      <c r="F50" s="6"/>
      <c r="G50" s="6" t="s">
        <v>119</v>
      </c>
    </row>
    <row r="51" spans="1:7" ht="12.75">
      <c r="A51" s="1" t="s">
        <v>164</v>
      </c>
      <c r="B51" s="13" t="s">
        <v>154</v>
      </c>
      <c r="C51" s="13">
        <v>10.2</v>
      </c>
      <c r="D51" s="13">
        <v>39.97</v>
      </c>
      <c r="E51" s="6"/>
      <c r="F51" s="6"/>
      <c r="G51" s="6"/>
    </row>
    <row r="52" spans="1:7" ht="12.75">
      <c r="A52" s="1" t="s">
        <v>165</v>
      </c>
      <c r="B52" s="13" t="s">
        <v>155</v>
      </c>
      <c r="C52" s="13">
        <f>C53+C54+C55+C56</f>
        <v>172.89999999999998</v>
      </c>
      <c r="D52" s="13">
        <f>D53+D54+D55+D56</f>
        <v>101.14999999999999</v>
      </c>
      <c r="E52" s="13">
        <f>E53+E54+E55+E56</f>
        <v>0</v>
      </c>
      <c r="F52" s="13">
        <f>F53+F54+F55+F56</f>
        <v>0</v>
      </c>
      <c r="G52" s="6"/>
    </row>
    <row r="53" spans="1:7" ht="12.75">
      <c r="A53" s="1" t="s">
        <v>187</v>
      </c>
      <c r="B53" s="13" t="s">
        <v>156</v>
      </c>
      <c r="C53" s="13">
        <v>25.2</v>
      </c>
      <c r="D53" s="13">
        <v>21.2</v>
      </c>
      <c r="E53" s="6"/>
      <c r="F53" s="6"/>
      <c r="G53" s="6"/>
    </row>
    <row r="54" spans="1:7" ht="12.75">
      <c r="A54" s="1" t="s">
        <v>188</v>
      </c>
      <c r="B54" s="13" t="s">
        <v>87</v>
      </c>
      <c r="C54" s="13">
        <v>55.9</v>
      </c>
      <c r="D54" s="13">
        <v>46.4</v>
      </c>
      <c r="E54" s="6"/>
      <c r="F54" s="6"/>
      <c r="G54" s="6"/>
    </row>
    <row r="55" spans="1:7" ht="12.75">
      <c r="A55" s="1" t="s">
        <v>189</v>
      </c>
      <c r="B55" s="13" t="s">
        <v>157</v>
      </c>
      <c r="C55" s="13">
        <v>61.8</v>
      </c>
      <c r="D55" s="13">
        <v>33.55</v>
      </c>
      <c r="E55" s="6"/>
      <c r="F55" s="6"/>
      <c r="G55" s="6"/>
    </row>
    <row r="56" spans="1:7" ht="22.5">
      <c r="A56" s="1" t="s">
        <v>166</v>
      </c>
      <c r="B56" s="17" t="s">
        <v>158</v>
      </c>
      <c r="C56" s="13">
        <v>30</v>
      </c>
      <c r="D56" s="13">
        <v>0</v>
      </c>
      <c r="E56" s="6"/>
      <c r="F56" s="6"/>
      <c r="G56" s="6"/>
    </row>
    <row r="57" spans="1:7" s="21" customFormat="1" ht="12.75">
      <c r="A57" s="25" t="s">
        <v>159</v>
      </c>
      <c r="B57" s="26" t="s">
        <v>26</v>
      </c>
      <c r="C57" s="32">
        <f>C58+C61+C62+C63</f>
        <v>991.5995999999999</v>
      </c>
      <c r="D57" s="32">
        <f>D58+D61+D62+D63</f>
        <v>313.27700000000004</v>
      </c>
      <c r="E57" s="32">
        <f>E58+E61+E62+E63</f>
        <v>0</v>
      </c>
      <c r="F57" s="32">
        <f>F58+F61+F62+F63</f>
        <v>0</v>
      </c>
      <c r="G57" s="6" t="s">
        <v>120</v>
      </c>
    </row>
    <row r="58" spans="1:7" ht="12.75">
      <c r="A58" s="1" t="s">
        <v>167</v>
      </c>
      <c r="B58" s="13" t="s">
        <v>62</v>
      </c>
      <c r="C58" s="13">
        <v>549.8</v>
      </c>
      <c r="D58" s="13">
        <v>163.5</v>
      </c>
      <c r="E58" s="15"/>
      <c r="F58" s="11"/>
      <c r="G58" s="6"/>
    </row>
    <row r="59" spans="1:7" ht="22.5">
      <c r="A59" s="1"/>
      <c r="B59" s="17" t="s">
        <v>88</v>
      </c>
      <c r="C59" s="13">
        <v>3</v>
      </c>
      <c r="D59" s="13">
        <v>1.54</v>
      </c>
      <c r="E59" s="6">
        <v>3</v>
      </c>
      <c r="F59" s="6">
        <v>3</v>
      </c>
      <c r="G59" s="6"/>
    </row>
    <row r="60" spans="1:7" ht="12.75">
      <c r="A60" s="1"/>
      <c r="B60" s="17" t="s">
        <v>89</v>
      </c>
      <c r="C60" s="19">
        <f>C58/12/C59*1000</f>
        <v>15272.22222222222</v>
      </c>
      <c r="D60" s="19">
        <f>D58/12/1.5*1000</f>
        <v>9083.333333333334</v>
      </c>
      <c r="E60" s="11">
        <f>E58/6/E59*1000</f>
        <v>0</v>
      </c>
      <c r="F60" s="11">
        <f>F58/12/3*1000</f>
        <v>0</v>
      </c>
      <c r="G60" s="6"/>
    </row>
    <row r="61" spans="1:7" ht="12.75">
      <c r="A61" s="1" t="s">
        <v>168</v>
      </c>
      <c r="B61" s="17" t="s">
        <v>51</v>
      </c>
      <c r="C61" s="31">
        <f>C58*0.302</f>
        <v>166.03959999999998</v>
      </c>
      <c r="D61" s="31">
        <f>D58*0.302</f>
        <v>49.376999999999995</v>
      </c>
      <c r="E61" s="11">
        <f>E58*0.302</f>
        <v>0</v>
      </c>
      <c r="F61" s="15">
        <f>F58*0.302</f>
        <v>0</v>
      </c>
      <c r="G61" s="6"/>
    </row>
    <row r="62" spans="1:7" ht="12.75">
      <c r="A62" s="1" t="s">
        <v>169</v>
      </c>
      <c r="B62" s="13" t="s">
        <v>63</v>
      </c>
      <c r="C62" s="13">
        <v>0</v>
      </c>
      <c r="D62" s="13">
        <v>0</v>
      </c>
      <c r="E62" s="6">
        <v>0</v>
      </c>
      <c r="F62" s="15">
        <v>0</v>
      </c>
      <c r="G62" s="6"/>
    </row>
    <row r="63" spans="1:7" ht="12.75">
      <c r="A63" s="1" t="s">
        <v>170</v>
      </c>
      <c r="B63" s="17" t="s">
        <v>21</v>
      </c>
      <c r="C63" s="13">
        <v>275.76</v>
      </c>
      <c r="D63" s="13">
        <v>100.4</v>
      </c>
      <c r="E63" s="6">
        <v>0</v>
      </c>
      <c r="F63" s="15">
        <v>0</v>
      </c>
      <c r="G63" s="6"/>
    </row>
    <row r="64" spans="1:7" s="2" customFormat="1" ht="12.75">
      <c r="A64" s="5" t="s">
        <v>27</v>
      </c>
      <c r="B64" s="14" t="s">
        <v>28</v>
      </c>
      <c r="C64" s="16">
        <f>C12+C13+C14+C19+C21+C24+C33+C34+C37+C41</f>
        <v>6108.845499999999</v>
      </c>
      <c r="D64" s="16">
        <f>D12+D13+D14+D19+D21+D24+D33+D34+D37+D41</f>
        <v>5252.661700000001</v>
      </c>
      <c r="E64" s="16">
        <f>E12+E13+E14+E19+E21+E24+E33+E34+E37+E41</f>
        <v>0</v>
      </c>
      <c r="F64" s="16">
        <f>F12+F13+F14+F19+F21+F24+F33+F34+F37+F41</f>
        <v>0</v>
      </c>
      <c r="G64" s="6"/>
    </row>
    <row r="65" spans="1:7" s="8" customFormat="1" ht="12.75">
      <c r="A65" s="7" t="s">
        <v>29</v>
      </c>
      <c r="B65" s="43" t="s">
        <v>30</v>
      </c>
      <c r="C65" s="44">
        <v>92.995</v>
      </c>
      <c r="D65" s="44">
        <v>117.98</v>
      </c>
      <c r="E65" s="44"/>
      <c r="F65" s="44"/>
      <c r="G65" s="45" t="s">
        <v>121</v>
      </c>
    </row>
    <row r="66" spans="1:8" s="2" customFormat="1" ht="12.75">
      <c r="A66" s="5" t="s">
        <v>31</v>
      </c>
      <c r="B66" s="14" t="s">
        <v>32</v>
      </c>
      <c r="C66" s="16">
        <f>C64/C65</f>
        <v>65.6900424754019</v>
      </c>
      <c r="D66" s="16">
        <f>D64/D65</f>
        <v>44.52162824207493</v>
      </c>
      <c r="E66" s="16" t="e">
        <f>E64/E65</f>
        <v>#DIV/0!</v>
      </c>
      <c r="F66" s="16" t="e">
        <f>F64/F65</f>
        <v>#DIV/0!</v>
      </c>
      <c r="G66" s="14"/>
      <c r="H66" s="35"/>
    </row>
    <row r="67" spans="1:8" s="2" customFormat="1" ht="12.75">
      <c r="A67" s="5" t="s">
        <v>64</v>
      </c>
      <c r="B67" s="14" t="s">
        <v>65</v>
      </c>
      <c r="C67" s="16">
        <f>C68/C64*100</f>
        <v>0</v>
      </c>
      <c r="D67" s="16">
        <f>D68/D64*100</f>
        <v>0.4249274229863309</v>
      </c>
      <c r="E67" s="16">
        <v>0</v>
      </c>
      <c r="F67" s="16" t="e">
        <f>F68/F64*100</f>
        <v>#DIV/0!</v>
      </c>
      <c r="G67" s="14"/>
      <c r="H67" s="35"/>
    </row>
    <row r="68" spans="1:8" s="2" customFormat="1" ht="12.75">
      <c r="A68" s="5" t="s">
        <v>33</v>
      </c>
      <c r="B68" s="14" t="s">
        <v>66</v>
      </c>
      <c r="C68" s="16"/>
      <c r="D68" s="16">
        <v>22.32</v>
      </c>
      <c r="E68" s="16">
        <v>0</v>
      </c>
      <c r="F68" s="14">
        <v>60.55</v>
      </c>
      <c r="G68" s="14" t="s">
        <v>122</v>
      </c>
      <c r="H68" s="35"/>
    </row>
    <row r="69" spans="1:8" ht="12.75">
      <c r="A69" s="1" t="s">
        <v>171</v>
      </c>
      <c r="B69" s="12" t="s">
        <v>67</v>
      </c>
      <c r="C69" s="33">
        <f>C68-C75</f>
        <v>0</v>
      </c>
      <c r="D69" s="12">
        <v>17.17</v>
      </c>
      <c r="E69" s="11">
        <v>0</v>
      </c>
      <c r="F69" s="15">
        <v>51.5</v>
      </c>
      <c r="G69" s="6"/>
      <c r="H69" s="36"/>
    </row>
    <row r="70" spans="1:8" ht="12.75">
      <c r="A70" s="1" t="s">
        <v>172</v>
      </c>
      <c r="B70" s="6" t="s">
        <v>68</v>
      </c>
      <c r="C70" s="6">
        <v>0</v>
      </c>
      <c r="D70" s="6">
        <v>0</v>
      </c>
      <c r="E70" s="6">
        <v>0</v>
      </c>
      <c r="F70" s="6">
        <v>0</v>
      </c>
      <c r="G70" s="6"/>
      <c r="H70" s="36"/>
    </row>
    <row r="71" spans="1:8" ht="12.75">
      <c r="A71" s="1" t="s">
        <v>173</v>
      </c>
      <c r="B71" s="12" t="s">
        <v>69</v>
      </c>
      <c r="C71" s="6">
        <v>0</v>
      </c>
      <c r="D71" s="15">
        <v>0</v>
      </c>
      <c r="E71" s="6">
        <v>0</v>
      </c>
      <c r="F71" s="6">
        <v>0</v>
      </c>
      <c r="G71" s="6"/>
      <c r="H71" s="36"/>
    </row>
    <row r="72" spans="1:8" ht="12.75">
      <c r="A72" s="28" t="s">
        <v>174</v>
      </c>
      <c r="B72" s="6" t="s">
        <v>70</v>
      </c>
      <c r="C72" s="6">
        <v>0</v>
      </c>
      <c r="D72" s="6">
        <v>0</v>
      </c>
      <c r="E72" s="6">
        <v>0</v>
      </c>
      <c r="F72" s="6">
        <v>0</v>
      </c>
      <c r="G72" s="6"/>
      <c r="H72" s="36"/>
    </row>
    <row r="73" spans="1:8" ht="12.75">
      <c r="A73" s="1" t="s">
        <v>175</v>
      </c>
      <c r="B73" s="6" t="s">
        <v>71</v>
      </c>
      <c r="C73" s="6">
        <v>0</v>
      </c>
      <c r="D73" s="6">
        <v>0</v>
      </c>
      <c r="E73" s="6">
        <v>0</v>
      </c>
      <c r="F73" s="6">
        <v>0</v>
      </c>
      <c r="G73" s="6"/>
      <c r="H73" s="36"/>
    </row>
    <row r="74" spans="1:8" ht="12.75">
      <c r="A74" s="1" t="s">
        <v>176</v>
      </c>
      <c r="B74" s="14" t="s">
        <v>72</v>
      </c>
      <c r="C74" s="6">
        <v>0</v>
      </c>
      <c r="D74" s="6">
        <v>2.58</v>
      </c>
      <c r="E74" s="6">
        <v>0</v>
      </c>
      <c r="F74" s="6">
        <v>0</v>
      </c>
      <c r="G74" s="6"/>
      <c r="H74" s="36"/>
    </row>
    <row r="75" spans="1:8" ht="12.75">
      <c r="A75" s="1" t="s">
        <v>177</v>
      </c>
      <c r="B75" s="6" t="s">
        <v>34</v>
      </c>
      <c r="C75" s="11">
        <f>C68*0.15</f>
        <v>0</v>
      </c>
      <c r="D75" s="11">
        <v>2.58</v>
      </c>
      <c r="E75" s="15">
        <v>0</v>
      </c>
      <c r="F75" s="11">
        <f>F68*0.15</f>
        <v>9.0825</v>
      </c>
      <c r="G75" s="6"/>
      <c r="H75" s="36"/>
    </row>
    <row r="76" spans="1:8" ht="12.75">
      <c r="A76" s="1" t="s">
        <v>178</v>
      </c>
      <c r="B76" s="6" t="s">
        <v>73</v>
      </c>
      <c r="C76" s="6">
        <v>0</v>
      </c>
      <c r="D76" s="6">
        <v>0</v>
      </c>
      <c r="E76" s="6">
        <v>0</v>
      </c>
      <c r="F76" s="6"/>
      <c r="G76" s="6"/>
      <c r="H76" s="36"/>
    </row>
    <row r="77" spans="1:8" ht="12.75">
      <c r="A77" s="1" t="s">
        <v>179</v>
      </c>
      <c r="B77" s="6" t="s">
        <v>180</v>
      </c>
      <c r="C77" s="6"/>
      <c r="D77" s="6"/>
      <c r="E77" s="6"/>
      <c r="F77" s="6"/>
      <c r="G77" s="6"/>
      <c r="H77" s="36"/>
    </row>
    <row r="78" spans="1:8" s="2" customFormat="1" ht="12.75">
      <c r="A78" s="5" t="s">
        <v>35</v>
      </c>
      <c r="B78" s="14" t="s">
        <v>181</v>
      </c>
      <c r="C78" s="16">
        <f>C64+C68</f>
        <v>6108.845499999999</v>
      </c>
      <c r="D78" s="16">
        <f>D64+D68</f>
        <v>5274.9817</v>
      </c>
      <c r="E78" s="16">
        <f>E64+E68</f>
        <v>0</v>
      </c>
      <c r="F78" s="16"/>
      <c r="G78" s="14"/>
      <c r="H78" s="35"/>
    </row>
    <row r="79" spans="1:8" s="10" customFormat="1" ht="13.5" customHeight="1">
      <c r="A79" s="9" t="s">
        <v>74</v>
      </c>
      <c r="B79" s="45" t="s">
        <v>90</v>
      </c>
      <c r="C79" s="27">
        <f>C78/C65</f>
        <v>65.6900424754019</v>
      </c>
      <c r="D79" s="27">
        <f>D78/D65</f>
        <v>44.71081284963553</v>
      </c>
      <c r="E79" s="16">
        <v>0</v>
      </c>
      <c r="F79" s="16" t="e">
        <f>(F64+F68)/F65</f>
        <v>#DIV/0!</v>
      </c>
      <c r="G79" s="6"/>
      <c r="H79" s="37"/>
    </row>
    <row r="80" spans="1:8" s="10" customFormat="1" ht="13.5" customHeight="1">
      <c r="A80" s="9" t="s">
        <v>75</v>
      </c>
      <c r="B80" s="45" t="s">
        <v>90</v>
      </c>
      <c r="C80" s="27">
        <f>C79</f>
        <v>65.6900424754019</v>
      </c>
      <c r="D80" s="27">
        <f>D79</f>
        <v>44.71081284963553</v>
      </c>
      <c r="E80" s="16">
        <v>0</v>
      </c>
      <c r="F80" s="16" t="e">
        <f>F79</f>
        <v>#DIV/0!</v>
      </c>
      <c r="G80" s="6"/>
      <c r="H80" s="37"/>
    </row>
    <row r="81" spans="1:7" s="30" customFormat="1" ht="14.25" customHeight="1">
      <c r="A81" s="9" t="s">
        <v>96</v>
      </c>
      <c r="B81" s="46" t="s">
        <v>125</v>
      </c>
      <c r="C81" s="29">
        <v>0</v>
      </c>
      <c r="D81" s="29">
        <v>0</v>
      </c>
      <c r="E81" s="29">
        <v>0</v>
      </c>
      <c r="F81" s="29">
        <v>0</v>
      </c>
      <c r="G81" s="14"/>
    </row>
    <row r="82" spans="1:7" s="30" customFormat="1" ht="12.75">
      <c r="A82" s="9" t="s">
        <v>97</v>
      </c>
      <c r="B82" s="46" t="s">
        <v>124</v>
      </c>
      <c r="C82" s="29">
        <v>0</v>
      </c>
      <c r="D82" s="29">
        <v>0</v>
      </c>
      <c r="E82" s="29">
        <v>0</v>
      </c>
      <c r="F82" s="29">
        <v>0</v>
      </c>
      <c r="G82" s="14"/>
    </row>
    <row r="83" spans="1:7" s="30" customFormat="1" ht="15.75" customHeight="1">
      <c r="A83" s="9" t="s">
        <v>98</v>
      </c>
      <c r="B83" s="46" t="s">
        <v>91</v>
      </c>
      <c r="C83" s="29">
        <f>C79</f>
        <v>65.6900424754019</v>
      </c>
      <c r="D83" s="29">
        <f>D79</f>
        <v>44.71081284963553</v>
      </c>
      <c r="E83" s="29"/>
      <c r="F83" s="29" t="e">
        <f>F80</f>
        <v>#DIV/0!</v>
      </c>
      <c r="G83" s="14"/>
    </row>
    <row r="84" spans="1:7" s="30" customFormat="1" ht="12.75">
      <c r="A84" s="9" t="s">
        <v>99</v>
      </c>
      <c r="B84" s="46" t="s">
        <v>92</v>
      </c>
      <c r="C84" s="29">
        <f>C79</f>
        <v>65.6900424754019</v>
      </c>
      <c r="D84" s="29">
        <f>D79</f>
        <v>44.71081284963553</v>
      </c>
      <c r="E84" s="29"/>
      <c r="F84" s="29" t="e">
        <f>F80</f>
        <v>#DIV/0!</v>
      </c>
      <c r="G84" s="14"/>
    </row>
    <row r="85" spans="1:7" s="2" customFormat="1" ht="45">
      <c r="A85" s="5" t="s">
        <v>100</v>
      </c>
      <c r="B85" s="23" t="s">
        <v>76</v>
      </c>
      <c r="C85" s="14">
        <v>0</v>
      </c>
      <c r="D85" s="16">
        <v>19.74</v>
      </c>
      <c r="E85" s="16">
        <v>0</v>
      </c>
      <c r="F85" s="16"/>
      <c r="G85" s="14"/>
    </row>
    <row r="86" spans="1:7" s="2" customFormat="1" ht="12.75">
      <c r="A86" s="1" t="s">
        <v>182</v>
      </c>
      <c r="B86" s="18" t="s">
        <v>77</v>
      </c>
      <c r="C86" s="6">
        <v>0</v>
      </c>
      <c r="D86" s="15">
        <v>0</v>
      </c>
      <c r="E86" s="11">
        <v>0</v>
      </c>
      <c r="F86" s="11">
        <v>0</v>
      </c>
      <c r="G86" s="6"/>
    </row>
    <row r="87" spans="1:7" s="2" customFormat="1" ht="12.75">
      <c r="A87" s="1" t="s">
        <v>183</v>
      </c>
      <c r="B87" s="12" t="s">
        <v>101</v>
      </c>
      <c r="C87" s="6">
        <v>0</v>
      </c>
      <c r="D87" s="11">
        <v>19.74</v>
      </c>
      <c r="E87" s="11">
        <v>0</v>
      </c>
      <c r="F87" s="11">
        <v>51.5</v>
      </c>
      <c r="G87" s="6"/>
    </row>
    <row r="88" spans="1:7" s="2" customFormat="1" ht="12.75">
      <c r="A88" s="1" t="s">
        <v>184</v>
      </c>
      <c r="B88" s="12" t="s">
        <v>78</v>
      </c>
      <c r="C88" s="6">
        <v>0</v>
      </c>
      <c r="D88" s="6">
        <v>0</v>
      </c>
      <c r="E88" s="11">
        <v>0</v>
      </c>
      <c r="F88" s="11">
        <v>0</v>
      </c>
      <c r="G88" s="11"/>
    </row>
    <row r="89" spans="1:7" s="2" customFormat="1" ht="12.75">
      <c r="A89" s="1" t="s">
        <v>185</v>
      </c>
      <c r="B89" s="12" t="s">
        <v>79</v>
      </c>
      <c r="C89" s="6">
        <v>0</v>
      </c>
      <c r="D89" s="6">
        <v>0</v>
      </c>
      <c r="E89" s="11">
        <v>0</v>
      </c>
      <c r="F89" s="11">
        <v>0</v>
      </c>
      <c r="G89" s="11"/>
    </row>
    <row r="90" spans="1:7" ht="12.75">
      <c r="A90" s="1" t="s">
        <v>186</v>
      </c>
      <c r="B90" s="6" t="s">
        <v>80</v>
      </c>
      <c r="C90" s="6">
        <v>0</v>
      </c>
      <c r="D90" s="6">
        <v>0</v>
      </c>
      <c r="E90" s="6">
        <v>0</v>
      </c>
      <c r="F90" s="6">
        <v>0</v>
      </c>
      <c r="G90" s="6"/>
    </row>
    <row r="91" spans="1:6" ht="12.75">
      <c r="A91" s="92" t="s">
        <v>39</v>
      </c>
      <c r="B91" s="92"/>
      <c r="C91" s="92"/>
      <c r="D91" s="92"/>
      <c r="E91" s="92"/>
      <c r="F91" s="49"/>
    </row>
    <row r="93" spans="1:6" ht="12.75">
      <c r="A93" s="92" t="s">
        <v>40</v>
      </c>
      <c r="B93" s="92"/>
      <c r="C93" s="92"/>
      <c r="D93" s="92"/>
      <c r="E93" s="92"/>
      <c r="F93" s="49"/>
    </row>
  </sheetData>
  <sheetProtection/>
  <mergeCells count="15">
    <mergeCell ref="F1:G1"/>
    <mergeCell ref="A2:G2"/>
    <mergeCell ref="A3:G3"/>
    <mergeCell ref="A4:G4"/>
    <mergeCell ref="A5:G5"/>
    <mergeCell ref="A7:E7"/>
    <mergeCell ref="G9:G10"/>
    <mergeCell ref="A91:E91"/>
    <mergeCell ref="A93:E93"/>
    <mergeCell ref="A8:E8"/>
    <mergeCell ref="A9:A10"/>
    <mergeCell ref="B9:B10"/>
    <mergeCell ref="C9:C10"/>
    <mergeCell ref="D9:E9"/>
    <mergeCell ref="F9:F10"/>
  </mergeCells>
  <printOptions/>
  <pageMargins left="0.3937007874015748" right="0.1968503937007874" top="0.3937007874015748" bottom="0.1968503937007874" header="0.984251968503937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90" zoomScaleSheetLayoutView="90" zoomScalePageLayoutView="0" workbookViewId="0" topLeftCell="A37">
      <selection activeCell="G17" sqref="G17"/>
    </sheetView>
  </sheetViews>
  <sheetFormatPr defaultColWidth="9.00390625" defaultRowHeight="12.75"/>
  <cols>
    <col min="1" max="1" width="8.00390625" style="56" customWidth="1"/>
    <col min="2" max="2" width="34.625" style="56" customWidth="1"/>
    <col min="3" max="3" width="11.25390625" style="56" customWidth="1"/>
    <col min="4" max="4" width="14.875" style="56" customWidth="1"/>
    <col min="5" max="5" width="13.625" style="56" customWidth="1"/>
    <col min="6" max="6" width="14.25390625" style="56" customWidth="1"/>
    <col min="7" max="7" width="38.125" style="56" customWidth="1"/>
    <col min="8" max="16384" width="9.125" style="56" customWidth="1"/>
  </cols>
  <sheetData>
    <row r="1" spans="1:7" ht="15.75">
      <c r="A1" s="111" t="s">
        <v>95</v>
      </c>
      <c r="B1" s="111"/>
      <c r="C1" s="111"/>
      <c r="D1" s="111"/>
      <c r="E1" s="111"/>
      <c r="F1" s="111"/>
      <c r="G1" s="111"/>
    </row>
    <row r="2" ht="12.75">
      <c r="A2" s="57"/>
    </row>
    <row r="3" spans="1:7" ht="15.75">
      <c r="A3" s="112" t="s">
        <v>191</v>
      </c>
      <c r="B3" s="112"/>
      <c r="C3" s="112"/>
      <c r="D3" s="112"/>
      <c r="E3" s="112"/>
      <c r="F3" s="112"/>
      <c r="G3" s="112"/>
    </row>
    <row r="4" spans="1:7" ht="18.75" customHeight="1">
      <c r="A4" s="58"/>
      <c r="B4" s="112" t="s">
        <v>299</v>
      </c>
      <c r="C4" s="112"/>
      <c r="D4" s="112"/>
      <c r="E4" s="112"/>
      <c r="F4" s="112"/>
      <c r="G4" s="112"/>
    </row>
    <row r="5" spans="1:7" ht="18.75" customHeight="1">
      <c r="A5" s="58"/>
      <c r="B5" s="113" t="s">
        <v>38</v>
      </c>
      <c r="C5" s="113"/>
      <c r="D5" s="113"/>
      <c r="E5" s="113"/>
      <c r="F5" s="113"/>
      <c r="G5" s="113"/>
    </row>
    <row r="6" spans="1:6" ht="15" customHeight="1">
      <c r="A6" s="59"/>
      <c r="C6" s="114" t="s">
        <v>192</v>
      </c>
      <c r="D6" s="114"/>
      <c r="E6" s="114"/>
      <c r="F6" s="114"/>
    </row>
    <row r="7" spans="1:6" ht="20.25" customHeight="1">
      <c r="A7" s="59"/>
      <c r="C7" s="60"/>
      <c r="D7" s="60"/>
      <c r="E7" s="60"/>
      <c r="F7" s="60"/>
    </row>
    <row r="8" spans="1:7" ht="30.75" customHeight="1">
      <c r="A8" s="108" t="s">
        <v>193</v>
      </c>
      <c r="B8" s="108" t="s">
        <v>1</v>
      </c>
      <c r="C8" s="109" t="s">
        <v>267</v>
      </c>
      <c r="D8" s="109" t="s">
        <v>265</v>
      </c>
      <c r="E8" s="109"/>
      <c r="F8" s="109" t="s">
        <v>269</v>
      </c>
      <c r="G8" s="108" t="s">
        <v>194</v>
      </c>
    </row>
    <row r="9" spans="1:7" ht="21.75" customHeight="1">
      <c r="A9" s="108"/>
      <c r="B9" s="108"/>
      <c r="C9" s="109"/>
      <c r="D9" s="64" t="s">
        <v>266</v>
      </c>
      <c r="E9" s="64" t="s">
        <v>195</v>
      </c>
      <c r="F9" s="109"/>
      <c r="G9" s="108"/>
    </row>
    <row r="10" spans="1:7" ht="25.5" customHeight="1">
      <c r="A10" s="108"/>
      <c r="B10" s="108"/>
      <c r="C10" s="109"/>
      <c r="D10" s="64" t="s">
        <v>196</v>
      </c>
      <c r="E10" s="64" t="s">
        <v>268</v>
      </c>
      <c r="F10" s="109"/>
      <c r="G10" s="108"/>
    </row>
    <row r="11" spans="1:7" ht="15.75" customHeight="1">
      <c r="A11" s="108"/>
      <c r="B11" s="108"/>
      <c r="C11" s="109" t="s">
        <v>197</v>
      </c>
      <c r="D11" s="109"/>
      <c r="E11" s="109"/>
      <c r="F11" s="109"/>
      <c r="G11" s="108"/>
    </row>
    <row r="12" spans="1:7" ht="12.75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</row>
    <row r="13" spans="1:7" ht="25.5">
      <c r="A13" s="65"/>
      <c r="B13" s="66" t="s">
        <v>198</v>
      </c>
      <c r="C13" s="65">
        <v>18390</v>
      </c>
      <c r="D13" s="89">
        <f>C13/89*95*1.13</f>
        <v>22181.646067415728</v>
      </c>
      <c r="E13" s="89">
        <f>22182/95*92</f>
        <v>21481.515789473684</v>
      </c>
      <c r="F13" s="89">
        <f>22182*1.06</f>
        <v>23512.920000000002</v>
      </c>
      <c r="G13" s="65"/>
    </row>
    <row r="14" spans="1:7" ht="25.5">
      <c r="A14" s="65"/>
      <c r="B14" s="66" t="s">
        <v>199</v>
      </c>
      <c r="C14" s="65">
        <v>89</v>
      </c>
      <c r="D14" s="65">
        <v>95</v>
      </c>
      <c r="E14" s="65">
        <v>92</v>
      </c>
      <c r="F14" s="65">
        <v>95</v>
      </c>
      <c r="G14" s="65"/>
    </row>
    <row r="15" spans="1:7" ht="17.25" customHeight="1">
      <c r="A15" s="67">
        <v>1</v>
      </c>
      <c r="B15" s="68" t="s">
        <v>200</v>
      </c>
      <c r="C15" s="69"/>
      <c r="D15" s="69"/>
      <c r="E15" s="69"/>
      <c r="F15" s="69"/>
      <c r="G15" s="69"/>
    </row>
    <row r="16" spans="1:7" ht="30" customHeight="1">
      <c r="A16" s="67">
        <v>2</v>
      </c>
      <c r="B16" s="68" t="s">
        <v>42</v>
      </c>
      <c r="C16" s="69">
        <f>'Прил.6 (исходн.)'!C13</f>
        <v>334.4</v>
      </c>
      <c r="D16" s="69">
        <f>'Прил.6 (исходн.)'!D13</f>
        <v>242.7</v>
      </c>
      <c r="E16" s="78">
        <f>D16/2.5</f>
        <v>97.08</v>
      </c>
      <c r="F16" s="69">
        <v>332.95</v>
      </c>
      <c r="G16" s="78" t="s">
        <v>279</v>
      </c>
    </row>
    <row r="17" spans="1:7" ht="118.5" customHeight="1">
      <c r="A17" s="67">
        <v>3</v>
      </c>
      <c r="B17" s="68" t="s">
        <v>43</v>
      </c>
      <c r="C17" s="69">
        <f>'Прил.6 (исходн.)'!C14</f>
        <v>605.74</v>
      </c>
      <c r="D17" s="69">
        <f>'Прил.6 (исходн.)'!D14</f>
        <v>397.88</v>
      </c>
      <c r="E17" s="78">
        <f>C17/4</f>
        <v>151.435</v>
      </c>
      <c r="F17" s="69">
        <v>751.9</v>
      </c>
      <c r="G17" s="115" t="s">
        <v>300</v>
      </c>
    </row>
    <row r="18" spans="1:7" ht="15">
      <c r="A18" s="70"/>
      <c r="B18" s="69" t="s">
        <v>201</v>
      </c>
      <c r="C18" s="69">
        <v>4</v>
      </c>
      <c r="D18" s="69">
        <v>2.5</v>
      </c>
      <c r="E18" s="69">
        <v>4.5</v>
      </c>
      <c r="F18" s="69">
        <v>4.5</v>
      </c>
      <c r="G18" s="78" t="s">
        <v>281</v>
      </c>
    </row>
    <row r="19" spans="1:7" ht="15.75" customHeight="1">
      <c r="A19" s="70"/>
      <c r="B19" s="69" t="s">
        <v>202</v>
      </c>
      <c r="C19" s="69">
        <f>'Прил.6 (исходн.)'!C16</f>
        <v>4473</v>
      </c>
      <c r="D19" s="69">
        <f>'Прил.6 (исходн.)'!D16</f>
        <v>4741.4</v>
      </c>
      <c r="E19" s="69">
        <v>4741.4</v>
      </c>
      <c r="F19" s="69">
        <v>5033.14</v>
      </c>
      <c r="G19" s="78"/>
    </row>
    <row r="20" spans="1:7" ht="15">
      <c r="A20" s="70"/>
      <c r="B20" s="69" t="s">
        <v>203</v>
      </c>
      <c r="C20" s="69">
        <v>4</v>
      </c>
      <c r="D20" s="69">
        <v>2</v>
      </c>
      <c r="E20" s="69">
        <v>2</v>
      </c>
      <c r="F20" s="69"/>
      <c r="G20" s="78"/>
    </row>
    <row r="21" spans="1:7" ht="30" customHeight="1">
      <c r="A21" s="70"/>
      <c r="B21" s="69" t="s">
        <v>82</v>
      </c>
      <c r="C21" s="78">
        <f>C17/C18/12*1000</f>
        <v>12619.583333333332</v>
      </c>
      <c r="D21" s="78">
        <f>D17/D18/12*1000</f>
        <v>13262.666666666666</v>
      </c>
      <c r="E21" s="78">
        <f>E17/E18/3*1000</f>
        <v>11217.407407407407</v>
      </c>
      <c r="F21" s="78">
        <f>F17/F18/12*1000</f>
        <v>13924.074074074073</v>
      </c>
      <c r="G21" s="78"/>
    </row>
    <row r="22" spans="1:7" ht="18.75" customHeight="1">
      <c r="A22" s="67">
        <v>4</v>
      </c>
      <c r="B22" s="68" t="s">
        <v>61</v>
      </c>
      <c r="C22" s="78">
        <f>C17*0.302</f>
        <v>182.93348</v>
      </c>
      <c r="D22" s="78">
        <f>D17*0.302</f>
        <v>120.15975999999999</v>
      </c>
      <c r="E22" s="78">
        <f>E17*0.302</f>
        <v>45.73337</v>
      </c>
      <c r="F22" s="78">
        <f>F17*0.302</f>
        <v>227.07379999999998</v>
      </c>
      <c r="G22" s="78" t="s">
        <v>282</v>
      </c>
    </row>
    <row r="23" spans="1:7" ht="15">
      <c r="A23" s="70"/>
      <c r="B23" s="69" t="s">
        <v>204</v>
      </c>
      <c r="C23" s="69">
        <v>30.2</v>
      </c>
      <c r="D23" s="69">
        <v>30.2</v>
      </c>
      <c r="E23" s="69">
        <v>30.2</v>
      </c>
      <c r="F23" s="69">
        <v>30.2</v>
      </c>
      <c r="G23" s="78"/>
    </row>
    <row r="24" spans="1:7" ht="15">
      <c r="A24" s="67">
        <v>5</v>
      </c>
      <c r="B24" s="68" t="s">
        <v>83</v>
      </c>
      <c r="C24" s="69">
        <f>C25+C26</f>
        <v>31</v>
      </c>
      <c r="D24" s="69">
        <f>D25+D26</f>
        <v>21.33</v>
      </c>
      <c r="E24" s="69">
        <f>E25+E26</f>
        <v>0</v>
      </c>
      <c r="F24" s="69">
        <f>F25+F26</f>
        <v>31.79</v>
      </c>
      <c r="G24" s="78"/>
    </row>
    <row r="25" spans="1:7" ht="15">
      <c r="A25" s="70"/>
      <c r="B25" s="69" t="s">
        <v>84</v>
      </c>
      <c r="C25" s="69"/>
      <c r="D25" s="69"/>
      <c r="E25" s="69"/>
      <c r="F25" s="69"/>
      <c r="G25" s="78"/>
    </row>
    <row r="26" spans="1:7" ht="15">
      <c r="A26" s="70"/>
      <c r="B26" s="69" t="s">
        <v>85</v>
      </c>
      <c r="C26" s="69">
        <f>'Прил.6 (исходн.)'!C23</f>
        <v>31</v>
      </c>
      <c r="D26" s="69">
        <v>21.33</v>
      </c>
      <c r="E26" s="69">
        <v>0</v>
      </c>
      <c r="F26" s="69">
        <v>31.79</v>
      </c>
      <c r="G26" s="78" t="s">
        <v>283</v>
      </c>
    </row>
    <row r="27" spans="1:7" ht="28.5">
      <c r="A27" s="83">
        <v>6</v>
      </c>
      <c r="B27" s="84" t="s">
        <v>205</v>
      </c>
      <c r="C27" s="85">
        <f>C28+C29+C33+C34+C35+C36</f>
        <v>1394.06772</v>
      </c>
      <c r="D27" s="85">
        <f>D28+D29+D33+D34+D35+D36</f>
        <v>1301.6521400000001</v>
      </c>
      <c r="E27" s="85">
        <f>E28+E29+E33+E34+E35+E36</f>
        <v>321.56153500000005</v>
      </c>
      <c r="F27" s="85">
        <f>F28+F29+F33+F34+F35+F36</f>
        <v>1820.0767999999998</v>
      </c>
      <c r="G27" s="78" t="s">
        <v>284</v>
      </c>
    </row>
    <row r="28" spans="1:7" ht="15">
      <c r="A28" s="70" t="s">
        <v>12</v>
      </c>
      <c r="B28" s="71" t="s">
        <v>206</v>
      </c>
      <c r="C28" s="69">
        <f>'Прил.6 (исходн.)'!C25</f>
        <v>95.3</v>
      </c>
      <c r="D28" s="69">
        <f>'Прил.6 (исходн.)'!D25</f>
        <v>77.03</v>
      </c>
      <c r="E28" s="78">
        <f>D28/5</f>
        <v>15.406</v>
      </c>
      <c r="F28" s="69">
        <v>90.35</v>
      </c>
      <c r="G28" s="78" t="s">
        <v>285</v>
      </c>
    </row>
    <row r="29" spans="1:7" ht="30">
      <c r="A29" s="70" t="s">
        <v>14</v>
      </c>
      <c r="B29" s="71" t="s">
        <v>49</v>
      </c>
      <c r="C29" s="69">
        <f>'Прил.6 (исходн.)'!C26</f>
        <v>824.86</v>
      </c>
      <c r="D29" s="69">
        <f>'Прил.6 (исходн.)'!D26</f>
        <v>940.57</v>
      </c>
      <c r="E29" s="78">
        <f>D29/4</f>
        <v>235.1425</v>
      </c>
      <c r="F29" s="87">
        <v>998.4</v>
      </c>
      <c r="G29" s="78" t="s">
        <v>280</v>
      </c>
    </row>
    <row r="30" spans="1:7" ht="20.25" customHeight="1">
      <c r="A30" s="70"/>
      <c r="B30" s="71" t="s">
        <v>50</v>
      </c>
      <c r="C30" s="69">
        <f>'Прил.6 (исходн.)'!C27</f>
        <v>5</v>
      </c>
      <c r="D30" s="69">
        <f>'Прил.6 (исходн.)'!D27</f>
        <v>5</v>
      </c>
      <c r="E30" s="69">
        <v>5</v>
      </c>
      <c r="F30" s="69">
        <v>5</v>
      </c>
      <c r="G30" s="78" t="s">
        <v>281</v>
      </c>
    </row>
    <row r="31" spans="1:7" ht="15">
      <c r="A31" s="70"/>
      <c r="B31" s="71" t="s">
        <v>46</v>
      </c>
      <c r="C31" s="69">
        <f>'Прил.6 (исходн.)'!C28</f>
        <v>5</v>
      </c>
      <c r="D31" s="69">
        <f>'Прил.6 (исходн.)'!D28</f>
        <v>3.6</v>
      </c>
      <c r="E31" s="69">
        <v>3.6</v>
      </c>
      <c r="F31" s="69"/>
      <c r="G31" s="78"/>
    </row>
    <row r="32" spans="1:7" ht="30">
      <c r="A32" s="70"/>
      <c r="B32" s="71" t="s">
        <v>86</v>
      </c>
      <c r="C32" s="78">
        <f>C29/C30/12*1000</f>
        <v>13747.666666666668</v>
      </c>
      <c r="D32" s="78">
        <f>D29/D30/12*1000</f>
        <v>15676.166666666668</v>
      </c>
      <c r="E32" s="78">
        <f>E29/E30/3*1000</f>
        <v>15676.166666666668</v>
      </c>
      <c r="F32" s="78">
        <f>F29/F30/12*1000</f>
        <v>16640</v>
      </c>
      <c r="G32" s="78"/>
    </row>
    <row r="33" spans="1:7" ht="18" customHeight="1">
      <c r="A33" s="70" t="s">
        <v>15</v>
      </c>
      <c r="B33" s="71" t="s">
        <v>51</v>
      </c>
      <c r="C33" s="78">
        <f>C29*0.302</f>
        <v>249.10772</v>
      </c>
      <c r="D33" s="78">
        <f>D29*0.302</f>
        <v>284.05214</v>
      </c>
      <c r="E33" s="78">
        <f>E29*0.302</f>
        <v>71.013035</v>
      </c>
      <c r="F33" s="78">
        <f>F29*0.302</f>
        <v>301.5168</v>
      </c>
      <c r="G33" s="78" t="s">
        <v>282</v>
      </c>
    </row>
    <row r="34" spans="1:7" ht="18.75" customHeight="1">
      <c r="A34" s="70" t="s">
        <v>16</v>
      </c>
      <c r="B34" s="71" t="s">
        <v>13</v>
      </c>
      <c r="C34" s="69">
        <f>'Прил.6 (исходн.)'!C31</f>
        <v>224.8</v>
      </c>
      <c r="D34" s="69">
        <v>0</v>
      </c>
      <c r="E34" s="69">
        <v>0</v>
      </c>
      <c r="F34" s="69">
        <v>429.81</v>
      </c>
      <c r="G34" s="78" t="s">
        <v>286</v>
      </c>
    </row>
    <row r="35" spans="1:7" ht="28.5" customHeight="1">
      <c r="A35" s="70" t="s">
        <v>52</v>
      </c>
      <c r="B35" s="71" t="s">
        <v>207</v>
      </c>
      <c r="C35" s="69">
        <v>0</v>
      </c>
      <c r="D35" s="69">
        <v>0</v>
      </c>
      <c r="E35" s="69">
        <v>0</v>
      </c>
      <c r="F35" s="69"/>
      <c r="G35" s="78"/>
    </row>
    <row r="36" spans="1:7" ht="18.75" customHeight="1">
      <c r="A36" s="70" t="s">
        <v>208</v>
      </c>
      <c r="B36" s="71" t="s">
        <v>209</v>
      </c>
      <c r="C36" s="69">
        <v>0</v>
      </c>
      <c r="D36" s="69">
        <v>0</v>
      </c>
      <c r="E36" s="69">
        <v>0</v>
      </c>
      <c r="F36" s="69"/>
      <c r="G36" s="78"/>
    </row>
    <row r="37" spans="1:7" ht="29.25" customHeight="1">
      <c r="A37" s="67">
        <v>7</v>
      </c>
      <c r="B37" s="68" t="s">
        <v>210</v>
      </c>
      <c r="C37" s="69">
        <v>0</v>
      </c>
      <c r="D37" s="69">
        <v>0</v>
      </c>
      <c r="E37" s="69">
        <v>0</v>
      </c>
      <c r="F37" s="69"/>
      <c r="G37" s="78"/>
    </row>
    <row r="38" spans="1:7" ht="17.25" customHeight="1">
      <c r="A38" s="67">
        <v>8</v>
      </c>
      <c r="B38" s="68" t="s">
        <v>211</v>
      </c>
      <c r="C38" s="69">
        <f>C39+C40</f>
        <v>21.6</v>
      </c>
      <c r="D38" s="69">
        <f>D39+D40</f>
        <v>5.86</v>
      </c>
      <c r="E38" s="69">
        <f>E39+E40</f>
        <v>0</v>
      </c>
      <c r="F38" s="69">
        <f>F39+F40</f>
        <v>7.11</v>
      </c>
      <c r="G38" s="78"/>
    </row>
    <row r="39" spans="1:7" ht="15">
      <c r="A39" s="70" t="s">
        <v>41</v>
      </c>
      <c r="B39" s="69" t="s">
        <v>212</v>
      </c>
      <c r="C39" s="69">
        <f>'Прил.6 (исходн.)'!C35</f>
        <v>21.6</v>
      </c>
      <c r="D39" s="69">
        <f>'Прил.6 (исходн.)'!D35</f>
        <v>5.86</v>
      </c>
      <c r="E39" s="69">
        <v>0</v>
      </c>
      <c r="F39" s="69">
        <v>7.11</v>
      </c>
      <c r="G39" s="78" t="s">
        <v>287</v>
      </c>
    </row>
    <row r="40" spans="1:7" ht="15">
      <c r="A40" s="70" t="s">
        <v>53</v>
      </c>
      <c r="B40" s="69" t="s">
        <v>213</v>
      </c>
      <c r="C40" s="69"/>
      <c r="D40" s="69"/>
      <c r="E40" s="69"/>
      <c r="F40" s="69"/>
      <c r="G40" s="78"/>
    </row>
    <row r="41" spans="1:7" ht="15">
      <c r="A41" s="67">
        <v>9</v>
      </c>
      <c r="B41" s="72" t="s">
        <v>214</v>
      </c>
      <c r="C41" s="87">
        <v>1365.16</v>
      </c>
      <c r="D41" s="69">
        <f>'Прил.6 (исходн.)'!D37</f>
        <v>1662.87</v>
      </c>
      <c r="E41" s="69">
        <v>94.161</v>
      </c>
      <c r="F41" s="69">
        <v>908.59</v>
      </c>
      <c r="G41" s="78" t="s">
        <v>288</v>
      </c>
    </row>
    <row r="42" spans="1:7" ht="45">
      <c r="A42" s="70"/>
      <c r="B42" s="71" t="s">
        <v>215</v>
      </c>
      <c r="C42" s="12" t="s">
        <v>270</v>
      </c>
      <c r="D42" s="12" t="s">
        <v>129</v>
      </c>
      <c r="E42" s="12" t="s">
        <v>129</v>
      </c>
      <c r="F42" s="12" t="s">
        <v>129</v>
      </c>
      <c r="G42" s="78" t="s">
        <v>291</v>
      </c>
    </row>
    <row r="43" spans="1:7" ht="15">
      <c r="A43" s="70"/>
      <c r="B43" s="71" t="s">
        <v>216</v>
      </c>
      <c r="C43" s="69">
        <f>'Прил.6 (исходн.)'!C39</f>
        <v>33.25</v>
      </c>
      <c r="D43" s="69">
        <f>'Прил.6 (исходн.)'!D39</f>
        <v>55.54</v>
      </c>
      <c r="E43" s="69">
        <v>3.145</v>
      </c>
      <c r="F43" s="69">
        <v>30.347</v>
      </c>
      <c r="G43" s="78" t="s">
        <v>289</v>
      </c>
    </row>
    <row r="44" spans="1:7" ht="15">
      <c r="A44" s="70"/>
      <c r="B44" s="71" t="s">
        <v>217</v>
      </c>
      <c r="C44" s="78">
        <f>C41/C43</f>
        <v>41.057443609022556</v>
      </c>
      <c r="D44" s="78">
        <f>'Прил.6 (исходн.)'!D40</f>
        <v>29.94</v>
      </c>
      <c r="E44" s="78">
        <f>E41/E43</f>
        <v>29.939904610492846</v>
      </c>
      <c r="F44" s="78">
        <f>F41/F43</f>
        <v>29.94002702079283</v>
      </c>
      <c r="G44" s="78" t="s">
        <v>290</v>
      </c>
    </row>
    <row r="45" spans="1:7" ht="15.75" customHeight="1">
      <c r="A45" s="67">
        <v>10</v>
      </c>
      <c r="B45" s="68" t="s">
        <v>218</v>
      </c>
      <c r="C45" s="78">
        <f>C46+C58</f>
        <v>2173.9443</v>
      </c>
      <c r="D45" s="78">
        <f>D46+D58</f>
        <v>1500.1998</v>
      </c>
      <c r="E45" s="78">
        <f>E46+E58</f>
        <v>329.7157</v>
      </c>
      <c r="F45" s="78">
        <f>F46+F58</f>
        <v>2599.1654</v>
      </c>
      <c r="G45" s="78"/>
    </row>
    <row r="46" spans="1:7" ht="19.5" customHeight="1">
      <c r="A46" s="73" t="s">
        <v>219</v>
      </c>
      <c r="B46" s="74" t="s">
        <v>220</v>
      </c>
      <c r="C46" s="78">
        <f>C47+C51+C52+C53+C55</f>
        <v>1129.7047</v>
      </c>
      <c r="D46" s="78">
        <f>D47+D51+D52+D53+D54+D55</f>
        <v>1186.8828</v>
      </c>
      <c r="E46" s="78">
        <f>E47+E51+E52+E53+E54+E55</f>
        <v>329.7157</v>
      </c>
      <c r="F46" s="78">
        <f>F47+F51+F52+F53+F54+F55</f>
        <v>1304.0754000000002</v>
      </c>
      <c r="G46" s="78" t="s">
        <v>292</v>
      </c>
    </row>
    <row r="47" spans="1:7" ht="15">
      <c r="A47" s="70" t="s">
        <v>144</v>
      </c>
      <c r="B47" s="69" t="s">
        <v>59</v>
      </c>
      <c r="C47" s="69">
        <f>'Прил.6 (исходн.)'!C43</f>
        <v>699.85</v>
      </c>
      <c r="D47" s="69">
        <f>'Прил.6 (исходн.)'!D43</f>
        <v>776.4</v>
      </c>
      <c r="E47" s="69">
        <f>D47/4</f>
        <v>194.1</v>
      </c>
      <c r="F47" s="69">
        <v>792.7</v>
      </c>
      <c r="G47" s="78" t="s">
        <v>280</v>
      </c>
    </row>
    <row r="48" spans="1:7" ht="21.75" customHeight="1">
      <c r="A48" s="70"/>
      <c r="B48" s="69" t="s">
        <v>221</v>
      </c>
      <c r="C48" s="69">
        <f>'Прил.6 (исходн.)'!C44</f>
        <v>3.5</v>
      </c>
      <c r="D48" s="69">
        <f>'Прил.6 (исходн.)'!D44</f>
        <v>3.5</v>
      </c>
      <c r="E48" s="69">
        <v>3.5</v>
      </c>
      <c r="F48" s="69">
        <v>3.5</v>
      </c>
      <c r="G48" s="78" t="s">
        <v>281</v>
      </c>
    </row>
    <row r="49" spans="1:7" ht="18" customHeight="1">
      <c r="A49" s="70"/>
      <c r="B49" s="69" t="s">
        <v>203</v>
      </c>
      <c r="C49" s="69">
        <f>'Прил.6 (исходн.)'!C45</f>
        <v>5</v>
      </c>
      <c r="D49" s="69">
        <f>'Прил.6 (исходн.)'!D45</f>
        <v>5</v>
      </c>
      <c r="E49" s="69"/>
      <c r="F49" s="69">
        <v>5</v>
      </c>
      <c r="G49" s="78"/>
    </row>
    <row r="50" spans="1:7" ht="30">
      <c r="A50" s="70"/>
      <c r="B50" s="69" t="s">
        <v>222</v>
      </c>
      <c r="C50" s="78">
        <f>C47/C48/12*1000</f>
        <v>16663.095238095237</v>
      </c>
      <c r="D50" s="78">
        <f>D47/D48/12*1000</f>
        <v>18485.714285714283</v>
      </c>
      <c r="E50" s="78">
        <f>E47/E48/3*1000</f>
        <v>18485.714285714283</v>
      </c>
      <c r="F50" s="78">
        <f>F47/F48/12*1000</f>
        <v>18873.809523809523</v>
      </c>
      <c r="G50" s="78"/>
    </row>
    <row r="51" spans="1:7" ht="15">
      <c r="A51" s="70" t="s">
        <v>149</v>
      </c>
      <c r="B51" s="69" t="s">
        <v>61</v>
      </c>
      <c r="C51" s="78">
        <f>C47*0.302</f>
        <v>211.3547</v>
      </c>
      <c r="D51" s="78">
        <f>D47*0.302</f>
        <v>234.47279999999998</v>
      </c>
      <c r="E51" s="78">
        <f>E47*0.302</f>
        <v>58.618199999999995</v>
      </c>
      <c r="F51" s="78">
        <f>F47*0.302</f>
        <v>239.3954</v>
      </c>
      <c r="G51" s="78"/>
    </row>
    <row r="52" spans="1:7" ht="16.5" customHeight="1">
      <c r="A52" s="70" t="s">
        <v>150</v>
      </c>
      <c r="B52" s="69" t="s">
        <v>223</v>
      </c>
      <c r="C52" s="69">
        <f>'Прил.6 (исходн.)'!C48</f>
        <v>4.6</v>
      </c>
      <c r="D52" s="69">
        <f>'Прил.6 (исходн.)'!D48</f>
        <v>4.22</v>
      </c>
      <c r="E52" s="78">
        <f>D52/4</f>
        <v>1.055</v>
      </c>
      <c r="F52" s="69">
        <v>4.3</v>
      </c>
      <c r="G52" s="78" t="s">
        <v>279</v>
      </c>
    </row>
    <row r="53" spans="1:7" ht="18.75" customHeight="1">
      <c r="A53" s="75" t="s">
        <v>224</v>
      </c>
      <c r="B53" s="69" t="s">
        <v>225</v>
      </c>
      <c r="C53" s="69">
        <f>'Прил.6 (исходн.)'!C51</f>
        <v>10.2</v>
      </c>
      <c r="D53" s="69">
        <f>'Прил.6 (исходн.)'!D51</f>
        <v>39.97</v>
      </c>
      <c r="E53" s="78">
        <f>D53/2</f>
        <v>19.985</v>
      </c>
      <c r="F53" s="69">
        <v>48.26</v>
      </c>
      <c r="G53" s="78" t="s">
        <v>293</v>
      </c>
    </row>
    <row r="54" spans="1:7" ht="18.75" customHeight="1">
      <c r="A54" s="75"/>
      <c r="B54" s="69" t="s">
        <v>153</v>
      </c>
      <c r="C54" s="69">
        <v>30.8</v>
      </c>
      <c r="D54" s="69">
        <v>30.67</v>
      </c>
      <c r="E54" s="69">
        <v>30.67</v>
      </c>
      <c r="F54" s="69">
        <v>51.02</v>
      </c>
      <c r="G54" s="78" t="s">
        <v>294</v>
      </c>
    </row>
    <row r="55" spans="1:7" ht="18.75" customHeight="1">
      <c r="A55" s="70" t="s">
        <v>226</v>
      </c>
      <c r="B55" s="69" t="s">
        <v>227</v>
      </c>
      <c r="C55" s="69">
        <f>C56+C57</f>
        <v>203.70000000000002</v>
      </c>
      <c r="D55" s="69">
        <v>101.15</v>
      </c>
      <c r="E55" s="78">
        <f>E56+E57</f>
        <v>25.2875</v>
      </c>
      <c r="F55" s="69">
        <f>F56+F57</f>
        <v>168.4</v>
      </c>
      <c r="G55" s="78" t="s">
        <v>295</v>
      </c>
    </row>
    <row r="56" spans="1:7" ht="18" customHeight="1">
      <c r="A56" s="70" t="s">
        <v>228</v>
      </c>
      <c r="B56" s="69" t="s">
        <v>87</v>
      </c>
      <c r="C56" s="69">
        <f>'Прил.6 (исходн.)'!C54</f>
        <v>55.9</v>
      </c>
      <c r="D56" s="69">
        <f>'Прил.6 (исходн.)'!D54</f>
        <v>46.4</v>
      </c>
      <c r="E56" s="69">
        <f>D56/4</f>
        <v>11.6</v>
      </c>
      <c r="F56" s="69">
        <v>84.9</v>
      </c>
      <c r="G56" s="78" t="s">
        <v>103</v>
      </c>
    </row>
    <row r="57" spans="1:7" ht="18" customHeight="1">
      <c r="A57" s="70" t="s">
        <v>271</v>
      </c>
      <c r="B57" s="69" t="s">
        <v>21</v>
      </c>
      <c r="C57" s="69">
        <v>147.8</v>
      </c>
      <c r="D57" s="69">
        <f>D55-D56</f>
        <v>54.75000000000001</v>
      </c>
      <c r="E57" s="78">
        <f>D57/4</f>
        <v>13.687500000000002</v>
      </c>
      <c r="F57" s="69">
        <v>83.5</v>
      </c>
      <c r="G57" s="78"/>
    </row>
    <row r="58" spans="1:7" ht="30">
      <c r="A58" s="73" t="s">
        <v>229</v>
      </c>
      <c r="B58" s="74" t="s">
        <v>272</v>
      </c>
      <c r="C58" s="78">
        <f>C59+C62+C63+C65+C66+C67</f>
        <v>1044.2395999999999</v>
      </c>
      <c r="D58" s="78">
        <f>D59+D62+D63+D65+D66+D67</f>
        <v>313.317</v>
      </c>
      <c r="E58" s="69"/>
      <c r="F58" s="69">
        <v>1295.09</v>
      </c>
      <c r="G58" s="78" t="s">
        <v>296</v>
      </c>
    </row>
    <row r="59" spans="1:7" ht="15">
      <c r="A59" s="70" t="s">
        <v>167</v>
      </c>
      <c r="B59" s="69" t="s">
        <v>62</v>
      </c>
      <c r="C59" s="69">
        <f>'Прил.6 (исходн.)'!C58</f>
        <v>549.8</v>
      </c>
      <c r="D59" s="69">
        <f>'Прил.6 (исходн.)'!D58</f>
        <v>163.5</v>
      </c>
      <c r="E59" s="69">
        <f>C59/4</f>
        <v>137.45</v>
      </c>
      <c r="F59" s="69">
        <f>C59*1.06</f>
        <v>582.788</v>
      </c>
      <c r="G59" s="78"/>
    </row>
    <row r="60" spans="1:7" ht="35.25" customHeight="1">
      <c r="A60" s="70"/>
      <c r="B60" s="69" t="s">
        <v>230</v>
      </c>
      <c r="C60" s="69">
        <f>'Прил.6 (исходн.)'!C59</f>
        <v>3</v>
      </c>
      <c r="D60" s="69">
        <v>1</v>
      </c>
      <c r="E60" s="69">
        <v>3</v>
      </c>
      <c r="F60" s="69">
        <v>3</v>
      </c>
      <c r="G60" s="78"/>
    </row>
    <row r="61" spans="1:7" ht="31.5" customHeight="1">
      <c r="A61" s="70"/>
      <c r="B61" s="69" t="s">
        <v>89</v>
      </c>
      <c r="C61" s="78">
        <f>C59/C60/12*1000</f>
        <v>15272.22222222222</v>
      </c>
      <c r="D61" s="78">
        <f>D59/D60/12*1000</f>
        <v>13625</v>
      </c>
      <c r="E61" s="78">
        <f>E59/E60/3*1000</f>
        <v>15272.22222222222</v>
      </c>
      <c r="F61" s="78">
        <f>F59/F60/3*1000</f>
        <v>64754.222222222226</v>
      </c>
      <c r="G61" s="78"/>
    </row>
    <row r="62" spans="1:7" ht="15">
      <c r="A62" s="70" t="s">
        <v>168</v>
      </c>
      <c r="B62" s="69" t="s">
        <v>61</v>
      </c>
      <c r="C62" s="78">
        <f>C59*0.302</f>
        <v>166.03959999999998</v>
      </c>
      <c r="D62" s="78">
        <f>D59*0.302</f>
        <v>49.376999999999995</v>
      </c>
      <c r="E62" s="78">
        <f>E59*0.302</f>
        <v>41.509899999999995</v>
      </c>
      <c r="F62" s="78">
        <f>F59*0.302</f>
        <v>176.00197599999998</v>
      </c>
      <c r="G62" s="78"/>
    </row>
    <row r="63" spans="1:7" ht="31.5" customHeight="1">
      <c r="A63" s="70" t="s">
        <v>169</v>
      </c>
      <c r="B63" s="69" t="s">
        <v>231</v>
      </c>
      <c r="C63" s="69">
        <v>0</v>
      </c>
      <c r="D63" s="69">
        <v>0</v>
      </c>
      <c r="E63" s="69">
        <v>0</v>
      </c>
      <c r="F63" s="69"/>
      <c r="G63" s="78"/>
    </row>
    <row r="64" spans="1:7" ht="60">
      <c r="A64" s="70"/>
      <c r="B64" s="69" t="s">
        <v>232</v>
      </c>
      <c r="C64" s="69">
        <v>0</v>
      </c>
      <c r="D64" s="69">
        <v>0</v>
      </c>
      <c r="E64" s="69">
        <v>0</v>
      </c>
      <c r="F64" s="69"/>
      <c r="G64" s="78"/>
    </row>
    <row r="65" spans="1:7" ht="48.75" customHeight="1">
      <c r="A65" s="70" t="s">
        <v>170</v>
      </c>
      <c r="B65" s="69" t="s">
        <v>233</v>
      </c>
      <c r="C65" s="69">
        <v>0</v>
      </c>
      <c r="D65" s="69">
        <v>0</v>
      </c>
      <c r="E65" s="69">
        <v>0</v>
      </c>
      <c r="F65" s="69"/>
      <c r="G65" s="78"/>
    </row>
    <row r="66" spans="1:7" ht="15">
      <c r="A66" s="70" t="s">
        <v>234</v>
      </c>
      <c r="B66" s="69" t="s">
        <v>223</v>
      </c>
      <c r="C66" s="69">
        <v>0</v>
      </c>
      <c r="D66" s="69">
        <v>0</v>
      </c>
      <c r="E66" s="69"/>
      <c r="F66" s="69">
        <v>0</v>
      </c>
      <c r="G66" s="78"/>
    </row>
    <row r="67" spans="1:7" ht="17.25" customHeight="1">
      <c r="A67" s="70" t="s">
        <v>235</v>
      </c>
      <c r="B67" s="69" t="s">
        <v>21</v>
      </c>
      <c r="C67" s="87">
        <f>'Прил.6 (исходн.)'!C63+52.64</f>
        <v>328.4</v>
      </c>
      <c r="D67" s="69">
        <v>100.44</v>
      </c>
      <c r="E67" s="69">
        <f>D67/4</f>
        <v>25.11</v>
      </c>
      <c r="F67" s="78">
        <f>F58-F59-F62</f>
        <v>536.3000239999999</v>
      </c>
      <c r="G67" s="78"/>
    </row>
    <row r="68" spans="1:7" s="82" customFormat="1" ht="18.75" customHeight="1">
      <c r="A68" s="79">
        <v>11</v>
      </c>
      <c r="B68" s="80" t="s">
        <v>28</v>
      </c>
      <c r="C68" s="81">
        <f>C15+C16+C17+C22+C24+C27+C37+C38+C41+C45</f>
        <v>6108.8455</v>
      </c>
      <c r="D68" s="81">
        <f>D15+D16+D17+D22+D24+D27+D37+D38+D41+D45</f>
        <v>5252.6517</v>
      </c>
      <c r="E68" s="81">
        <f>E15+E16+E17+E22+E24+E27+E37+E38+E41+E45</f>
        <v>1039.686605</v>
      </c>
      <c r="F68" s="81">
        <f>F15+F16+F17+F22+F24+F27+F37+F38+F41+F45</f>
        <v>6678.655999999999</v>
      </c>
      <c r="G68" s="78"/>
    </row>
    <row r="69" spans="1:7" ht="19.5" customHeight="1">
      <c r="A69" s="67">
        <v>12</v>
      </c>
      <c r="B69" s="68" t="s">
        <v>30</v>
      </c>
      <c r="C69" s="69">
        <f>'Прил.6 (исходн.)'!C65</f>
        <v>92.995</v>
      </c>
      <c r="D69" s="69">
        <f>'Прил.6 (исходн.)'!D65</f>
        <v>117.98</v>
      </c>
      <c r="E69" s="69">
        <v>22.059</v>
      </c>
      <c r="F69" s="88">
        <v>105.081</v>
      </c>
      <c r="G69" s="78" t="s">
        <v>297</v>
      </c>
    </row>
    <row r="70" spans="1:7" ht="18" customHeight="1">
      <c r="A70" s="67">
        <v>13</v>
      </c>
      <c r="B70" s="68" t="s">
        <v>236</v>
      </c>
      <c r="C70" s="78">
        <f>C68/C69</f>
        <v>65.69004247540191</v>
      </c>
      <c r="D70" s="78">
        <f>D68/D69</f>
        <v>44.5215434819461</v>
      </c>
      <c r="E70" s="78">
        <f>E68/E69</f>
        <v>47.13208237000771</v>
      </c>
      <c r="F70" s="78">
        <f>F68/F69</f>
        <v>63.55721776534291</v>
      </c>
      <c r="G70" s="78">
        <f>F70/E70</f>
        <v>1.348491612706407</v>
      </c>
    </row>
    <row r="71" spans="1:7" ht="17.25" customHeight="1">
      <c r="A71" s="67">
        <v>14</v>
      </c>
      <c r="B71" s="68" t="s">
        <v>65</v>
      </c>
      <c r="C71" s="69"/>
      <c r="D71" s="78">
        <f>D72/D68*100</f>
        <v>0.4249282319632957</v>
      </c>
      <c r="E71" s="78">
        <f>E72/E68*100</f>
        <v>0</v>
      </c>
      <c r="F71" s="78">
        <f>F82/F68</f>
        <v>1.0090736818904882</v>
      </c>
      <c r="G71" s="78">
        <f>(F68-F34)/F69/E70</f>
        <v>1.2617084066156397</v>
      </c>
    </row>
    <row r="72" spans="1:7" ht="17.25" customHeight="1">
      <c r="A72" s="67">
        <v>15</v>
      </c>
      <c r="B72" s="68" t="s">
        <v>66</v>
      </c>
      <c r="C72" s="69"/>
      <c r="D72" s="69">
        <v>22.32</v>
      </c>
      <c r="E72" s="69"/>
      <c r="F72" s="78">
        <v>60.6</v>
      </c>
      <c r="G72" s="78" t="s">
        <v>298</v>
      </c>
    </row>
    <row r="73" spans="1:7" ht="18.75" customHeight="1">
      <c r="A73" s="75" t="s">
        <v>237</v>
      </c>
      <c r="B73" s="69" t="s">
        <v>67</v>
      </c>
      <c r="C73" s="69"/>
      <c r="D73" s="69">
        <v>17.17</v>
      </c>
      <c r="E73" s="69"/>
      <c r="F73" s="78">
        <f>F72-F80</f>
        <v>51.510000000000005</v>
      </c>
      <c r="G73" s="78"/>
    </row>
    <row r="74" spans="1:7" ht="15">
      <c r="A74" s="75" t="s">
        <v>238</v>
      </c>
      <c r="B74" s="69" t="s">
        <v>68</v>
      </c>
      <c r="C74" s="69"/>
      <c r="D74" s="69"/>
      <c r="E74" s="69"/>
      <c r="F74" s="69"/>
      <c r="G74" s="78"/>
    </row>
    <row r="75" spans="1:7" ht="30">
      <c r="A75" s="75" t="s">
        <v>239</v>
      </c>
      <c r="B75" s="69" t="s">
        <v>207</v>
      </c>
      <c r="C75" s="69"/>
      <c r="D75" s="69"/>
      <c r="E75" s="69"/>
      <c r="F75" s="69"/>
      <c r="G75" s="78"/>
    </row>
    <row r="76" spans="1:7" ht="15">
      <c r="A76" s="75" t="s">
        <v>240</v>
      </c>
      <c r="B76" s="69" t="s">
        <v>69</v>
      </c>
      <c r="C76" s="69"/>
      <c r="D76" s="69"/>
      <c r="E76" s="69"/>
      <c r="F76" s="69"/>
      <c r="G76" s="78"/>
    </row>
    <row r="77" spans="1:7" ht="15">
      <c r="A77" s="75" t="s">
        <v>241</v>
      </c>
      <c r="B77" s="69" t="s">
        <v>70</v>
      </c>
      <c r="C77" s="69"/>
      <c r="D77" s="69"/>
      <c r="E77" s="69"/>
      <c r="F77" s="69"/>
      <c r="G77" s="78"/>
    </row>
    <row r="78" spans="1:7" ht="15">
      <c r="A78" s="75" t="s">
        <v>242</v>
      </c>
      <c r="B78" s="69" t="s">
        <v>71</v>
      </c>
      <c r="C78" s="69"/>
      <c r="D78" s="69"/>
      <c r="E78" s="69"/>
      <c r="F78" s="69"/>
      <c r="G78" s="78"/>
    </row>
    <row r="79" spans="1:7" ht="15">
      <c r="A79" s="75" t="s">
        <v>243</v>
      </c>
      <c r="B79" s="69" t="s">
        <v>244</v>
      </c>
      <c r="C79" s="69"/>
      <c r="D79" s="69">
        <v>2.58</v>
      </c>
      <c r="E79" s="69"/>
      <c r="F79" s="78">
        <f>F72*0.15</f>
        <v>9.09</v>
      </c>
      <c r="G79" s="78"/>
    </row>
    <row r="80" spans="1:7" ht="15">
      <c r="A80" s="75" t="s">
        <v>245</v>
      </c>
      <c r="B80" s="69" t="s">
        <v>34</v>
      </c>
      <c r="C80" s="69"/>
      <c r="D80" s="69">
        <v>2.58</v>
      </c>
      <c r="E80" s="69"/>
      <c r="F80" s="78">
        <f>F72*0.15</f>
        <v>9.09</v>
      </c>
      <c r="G80" s="78"/>
    </row>
    <row r="81" spans="1:7" ht="15">
      <c r="A81" s="75" t="s">
        <v>246</v>
      </c>
      <c r="B81" s="69" t="s">
        <v>73</v>
      </c>
      <c r="C81" s="69"/>
      <c r="D81" s="69"/>
      <c r="E81" s="69"/>
      <c r="F81" s="69"/>
      <c r="G81" s="78"/>
    </row>
    <row r="82" spans="1:7" ht="15">
      <c r="A82" s="67">
        <v>16</v>
      </c>
      <c r="B82" s="68" t="s">
        <v>247</v>
      </c>
      <c r="C82" s="69">
        <v>3607.7</v>
      </c>
      <c r="D82" s="69">
        <v>5274.98</v>
      </c>
      <c r="E82" s="69">
        <v>914.8</v>
      </c>
      <c r="F82" s="78">
        <f>F84*F69</f>
        <v>6739.255999999999</v>
      </c>
      <c r="G82" s="78"/>
    </row>
    <row r="83" spans="1:7" ht="28.5">
      <c r="A83" s="67" t="s">
        <v>248</v>
      </c>
      <c r="B83" s="68" t="s">
        <v>249</v>
      </c>
      <c r="C83" s="69"/>
      <c r="D83" s="69"/>
      <c r="E83" s="69"/>
      <c r="F83" s="69"/>
      <c r="G83" s="78"/>
    </row>
    <row r="84" spans="1:7" ht="35.25" customHeight="1">
      <c r="A84" s="67">
        <v>17</v>
      </c>
      <c r="B84" s="68" t="s">
        <v>250</v>
      </c>
      <c r="C84" s="69"/>
      <c r="D84" s="78">
        <f>D82/D69</f>
        <v>44.710798440413626</v>
      </c>
      <c r="E84" s="69"/>
      <c r="F84" s="78">
        <f>(F68+F72)/F69</f>
        <v>64.13391574119012</v>
      </c>
      <c r="G84" s="76" t="s">
        <v>251</v>
      </c>
    </row>
    <row r="85" spans="1:7" ht="28.5">
      <c r="A85" s="67">
        <v>18</v>
      </c>
      <c r="B85" s="68" t="s">
        <v>252</v>
      </c>
      <c r="C85" s="69"/>
      <c r="D85" s="78">
        <v>44.71</v>
      </c>
      <c r="E85" s="69"/>
      <c r="F85" s="69">
        <v>64.48</v>
      </c>
      <c r="G85" s="76"/>
    </row>
    <row r="86" spans="1:7" ht="24">
      <c r="A86" s="67">
        <v>19</v>
      </c>
      <c r="B86" s="72" t="s">
        <v>253</v>
      </c>
      <c r="C86" s="86">
        <f>C82/C69</f>
        <v>38.794558847249846</v>
      </c>
      <c r="D86" s="71">
        <v>47.95</v>
      </c>
      <c r="E86" s="71">
        <v>47.13</v>
      </c>
      <c r="F86" s="69">
        <v>64.48</v>
      </c>
      <c r="G86" s="77" t="s">
        <v>254</v>
      </c>
    </row>
    <row r="87" spans="1:7" ht="24.75" customHeight="1">
      <c r="A87" s="67">
        <v>20</v>
      </c>
      <c r="B87" s="68" t="s">
        <v>255</v>
      </c>
      <c r="C87" s="86">
        <v>38.79</v>
      </c>
      <c r="D87" s="71">
        <v>47.95</v>
      </c>
      <c r="E87" s="69">
        <v>47.13</v>
      </c>
      <c r="F87" s="69">
        <v>64.48</v>
      </c>
      <c r="G87" s="69"/>
    </row>
    <row r="88" spans="1:7" ht="36.75" customHeight="1">
      <c r="A88" s="67">
        <v>21</v>
      </c>
      <c r="B88" s="68" t="s">
        <v>273</v>
      </c>
      <c r="C88" s="69">
        <v>0</v>
      </c>
      <c r="D88" s="69">
        <v>0</v>
      </c>
      <c r="E88" s="69">
        <v>0</v>
      </c>
      <c r="F88" s="69">
        <v>0</v>
      </c>
      <c r="G88" s="69"/>
    </row>
    <row r="89" spans="1:7" ht="28.5">
      <c r="A89" s="67">
        <v>22</v>
      </c>
      <c r="B89" s="68" t="s">
        <v>274</v>
      </c>
      <c r="C89" s="69">
        <v>0</v>
      </c>
      <c r="D89" s="69">
        <v>0</v>
      </c>
      <c r="E89" s="69">
        <v>0</v>
      </c>
      <c r="F89" s="69">
        <v>0</v>
      </c>
      <c r="G89" s="69"/>
    </row>
    <row r="90" spans="1:7" ht="28.5">
      <c r="A90" s="67">
        <v>23</v>
      </c>
      <c r="B90" s="68" t="s">
        <v>275</v>
      </c>
      <c r="C90" s="69">
        <v>38.79</v>
      </c>
      <c r="D90" s="69">
        <v>47.95</v>
      </c>
      <c r="E90" s="69">
        <v>47.13</v>
      </c>
      <c r="F90" s="69">
        <v>64.48</v>
      </c>
      <c r="G90" s="69"/>
    </row>
    <row r="91" spans="1:7" ht="28.5">
      <c r="A91" s="67">
        <v>24</v>
      </c>
      <c r="B91" s="68" t="s">
        <v>276</v>
      </c>
      <c r="C91" s="69">
        <v>38.79</v>
      </c>
      <c r="D91" s="69">
        <v>47.95</v>
      </c>
      <c r="E91" s="69">
        <v>47.13</v>
      </c>
      <c r="F91" s="69">
        <v>64.48</v>
      </c>
      <c r="G91" s="69"/>
    </row>
    <row r="92" spans="1:7" ht="57" customHeight="1">
      <c r="A92" s="67">
        <v>25</v>
      </c>
      <c r="B92" s="68" t="s">
        <v>256</v>
      </c>
      <c r="C92" s="69"/>
      <c r="D92" s="78">
        <f>'Прил.6 (исходн.)'!D85</f>
        <v>19.74</v>
      </c>
      <c r="E92" s="69"/>
      <c r="F92" s="69">
        <v>51.51</v>
      </c>
      <c r="G92" s="69"/>
    </row>
    <row r="93" spans="1:7" ht="17.25" customHeight="1">
      <c r="A93" s="75" t="s">
        <v>257</v>
      </c>
      <c r="B93" s="69" t="s">
        <v>77</v>
      </c>
      <c r="C93" s="69"/>
      <c r="D93" s="69"/>
      <c r="E93" s="69"/>
      <c r="F93" s="69"/>
      <c r="G93" s="69"/>
    </row>
    <row r="94" spans="1:7" ht="15">
      <c r="A94" s="75" t="s">
        <v>258</v>
      </c>
      <c r="B94" s="69" t="s">
        <v>259</v>
      </c>
      <c r="C94" s="69"/>
      <c r="D94" s="78">
        <f>D92</f>
        <v>19.74</v>
      </c>
      <c r="E94" s="69"/>
      <c r="F94" s="69">
        <v>51.51</v>
      </c>
      <c r="G94" s="69"/>
    </row>
    <row r="95" spans="1:7" ht="15">
      <c r="A95" s="75" t="s">
        <v>260</v>
      </c>
      <c r="B95" s="69" t="s">
        <v>78</v>
      </c>
      <c r="C95" s="69"/>
      <c r="D95" s="69"/>
      <c r="E95" s="69"/>
      <c r="F95" s="69"/>
      <c r="G95" s="69"/>
    </row>
    <row r="96" spans="1:7" ht="15">
      <c r="A96" s="75" t="s">
        <v>261</v>
      </c>
      <c r="B96" s="69" t="s">
        <v>79</v>
      </c>
      <c r="C96" s="69"/>
      <c r="D96" s="69"/>
      <c r="E96" s="69"/>
      <c r="F96" s="69"/>
      <c r="G96" s="69"/>
    </row>
    <row r="97" spans="1:7" ht="15">
      <c r="A97" s="75" t="s">
        <v>262</v>
      </c>
      <c r="B97" s="69" t="s">
        <v>80</v>
      </c>
      <c r="C97" s="69"/>
      <c r="D97" s="69"/>
      <c r="E97" s="69"/>
      <c r="F97" s="69"/>
      <c r="G97" s="69"/>
    </row>
    <row r="98" ht="15.75">
      <c r="A98" s="61" t="s">
        <v>263</v>
      </c>
    </row>
    <row r="99" ht="15.75">
      <c r="A99" s="61" t="s">
        <v>264</v>
      </c>
    </row>
    <row r="100" ht="15.75">
      <c r="A100" s="62"/>
    </row>
    <row r="101" spans="1:6" ht="15.75">
      <c r="A101" s="110" t="s">
        <v>277</v>
      </c>
      <c r="B101" s="110"/>
      <c r="C101" s="110"/>
      <c r="D101" s="110"/>
      <c r="E101" s="110"/>
      <c r="F101" s="110"/>
    </row>
    <row r="102" ht="15.75">
      <c r="A102" s="63"/>
    </row>
    <row r="103" spans="1:6" ht="15.75">
      <c r="A103" s="110" t="s">
        <v>278</v>
      </c>
      <c r="B103" s="110"/>
      <c r="C103" s="110"/>
      <c r="D103" s="110"/>
      <c r="E103" s="110"/>
      <c r="F103" s="110"/>
    </row>
  </sheetData>
  <sheetProtection/>
  <mergeCells count="14">
    <mergeCell ref="B8:B11"/>
    <mergeCell ref="C8:C10"/>
    <mergeCell ref="D8:E8"/>
    <mergeCell ref="F8:F10"/>
    <mergeCell ref="G8:G11"/>
    <mergeCell ref="C11:F11"/>
    <mergeCell ref="A101:F101"/>
    <mergeCell ref="A103:F103"/>
    <mergeCell ref="A1:G1"/>
    <mergeCell ref="A3:G3"/>
    <mergeCell ref="B4:G4"/>
    <mergeCell ref="B5:G5"/>
    <mergeCell ref="C6:F6"/>
    <mergeCell ref="A8:A1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2013-04-13T07:52:27Z</cp:lastPrinted>
  <dcterms:created xsi:type="dcterms:W3CDTF">2009-10-05T05:57:35Z</dcterms:created>
  <dcterms:modified xsi:type="dcterms:W3CDTF">2013-04-22T06:45:49Z</dcterms:modified>
  <cp:category/>
  <cp:version/>
  <cp:contentType/>
  <cp:contentStatus/>
</cp:coreProperties>
</file>